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ABA0DC4E-309F-4BAC-B2EC-DEC32BE5CFF5}" xr6:coauthVersionLast="47" xr6:coauthVersionMax="47" xr10:uidLastSave="{00000000-0000-0000-0000-000000000000}"/>
  <bookViews>
    <workbookView xWindow="-28920" yWindow="-120" windowWidth="29040" windowHeight="15840" xr2:uid="{A02B1501-3B86-48DF-899D-4D9EA29582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43" i="1" l="1"/>
  <c r="AU143" i="1"/>
  <c r="AV142" i="1"/>
  <c r="AU142" i="1"/>
  <c r="AV141" i="1"/>
  <c r="AU141" i="1"/>
  <c r="AV140" i="1"/>
  <c r="AU140" i="1"/>
  <c r="AV139" i="1"/>
  <c r="AU139" i="1"/>
  <c r="AT139" i="1"/>
  <c r="AV138" i="1"/>
  <c r="AU138" i="1"/>
  <c r="AV137" i="1"/>
  <c r="AU137" i="1"/>
  <c r="AV136" i="1"/>
  <c r="AU136" i="1"/>
  <c r="AT136" i="1"/>
  <c r="AV135" i="1"/>
  <c r="AU135" i="1"/>
  <c r="AT135" i="1"/>
  <c r="AV134" i="1"/>
  <c r="AU134" i="1"/>
  <c r="AT134" i="1"/>
  <c r="AV133" i="1"/>
  <c r="AU133" i="1"/>
  <c r="AV132" i="1"/>
  <c r="AU132" i="1"/>
  <c r="AT132" i="1"/>
  <c r="AV131" i="1"/>
  <c r="AU131" i="1"/>
  <c r="AV130" i="1"/>
  <c r="AU130" i="1"/>
  <c r="AV129" i="1"/>
  <c r="AU129" i="1"/>
  <c r="AV128" i="1"/>
  <c r="AU128" i="1"/>
  <c r="AV127" i="1"/>
  <c r="AU127" i="1"/>
  <c r="AT127" i="1"/>
  <c r="AV126" i="1"/>
  <c r="AU126" i="1"/>
  <c r="AT126" i="1"/>
  <c r="AV125" i="1"/>
  <c r="AU125" i="1"/>
  <c r="AV124" i="1"/>
  <c r="AU124" i="1"/>
  <c r="AT124" i="1"/>
  <c r="AV123" i="1"/>
  <c r="AU123" i="1"/>
  <c r="AT123" i="1"/>
  <c r="AV122" i="1"/>
  <c r="AU122" i="1"/>
  <c r="AT122" i="1"/>
  <c r="AV121" i="1"/>
  <c r="AU121" i="1"/>
  <c r="AT121" i="1"/>
  <c r="AV120" i="1"/>
  <c r="AU120" i="1"/>
  <c r="AT120" i="1"/>
  <c r="AV119" i="1"/>
  <c r="AU119" i="1"/>
  <c r="AT119" i="1"/>
  <c r="AV118" i="1"/>
  <c r="AU118" i="1"/>
  <c r="AV117" i="1"/>
  <c r="AU117" i="1"/>
  <c r="AT117" i="1"/>
  <c r="AV116" i="1"/>
  <c r="AU116" i="1"/>
  <c r="AV115" i="1"/>
  <c r="AU115" i="1"/>
  <c r="AV114" i="1"/>
  <c r="AU114" i="1"/>
  <c r="AV113" i="1"/>
  <c r="AU113" i="1"/>
  <c r="AV112" i="1"/>
  <c r="AU112" i="1"/>
  <c r="AV111" i="1"/>
  <c r="AU111" i="1"/>
  <c r="AV110" i="1"/>
  <c r="AU110" i="1"/>
  <c r="AV109" i="1"/>
  <c r="AU109" i="1"/>
  <c r="AV108" i="1"/>
  <c r="AU108" i="1"/>
  <c r="AV107" i="1"/>
  <c r="AU107" i="1"/>
  <c r="AT107" i="1"/>
  <c r="AV106" i="1"/>
  <c r="AU106" i="1"/>
  <c r="AT106" i="1"/>
  <c r="AV105" i="1"/>
  <c r="AU105" i="1"/>
  <c r="AT105" i="1"/>
  <c r="AV104" i="1"/>
  <c r="AU104" i="1"/>
  <c r="AT104" i="1"/>
  <c r="AV103" i="1"/>
  <c r="AU103" i="1"/>
  <c r="AV102" i="1"/>
  <c r="AU102" i="1"/>
  <c r="AT102" i="1"/>
  <c r="AV101" i="1"/>
  <c r="AU101" i="1"/>
  <c r="AT101" i="1"/>
  <c r="AV100" i="1"/>
  <c r="AU100" i="1"/>
  <c r="AV99" i="1"/>
  <c r="AU99" i="1"/>
  <c r="AT99" i="1"/>
  <c r="AV98" i="1"/>
  <c r="AU98" i="1"/>
  <c r="AV97" i="1"/>
  <c r="AU97" i="1"/>
  <c r="AT97" i="1"/>
  <c r="AV96" i="1"/>
  <c r="AU96" i="1"/>
  <c r="AT96" i="1"/>
  <c r="AV95" i="1"/>
  <c r="AU95" i="1"/>
  <c r="AV94" i="1"/>
  <c r="AU94" i="1"/>
  <c r="AV93" i="1"/>
  <c r="AU93" i="1"/>
  <c r="AT93" i="1"/>
  <c r="AV92" i="1"/>
  <c r="AU92" i="1"/>
  <c r="AT92" i="1"/>
  <c r="AV91" i="1"/>
  <c r="AU91" i="1"/>
  <c r="AT91" i="1"/>
  <c r="AV90" i="1"/>
  <c r="AU90" i="1"/>
  <c r="AT90" i="1"/>
  <c r="AV89" i="1"/>
  <c r="AU89" i="1"/>
  <c r="AT89" i="1"/>
  <c r="AV88" i="1"/>
  <c r="AU88" i="1"/>
  <c r="AV87" i="1"/>
  <c r="AU87" i="1"/>
  <c r="AT87" i="1"/>
  <c r="AV86" i="1"/>
  <c r="AU86" i="1"/>
  <c r="AT86" i="1"/>
  <c r="AV85" i="1"/>
  <c r="AU85" i="1"/>
  <c r="AT85" i="1"/>
  <c r="AV84" i="1"/>
  <c r="AU84" i="1"/>
  <c r="AV83" i="1"/>
  <c r="AU83" i="1"/>
  <c r="AV82" i="1"/>
  <c r="AU82" i="1"/>
  <c r="AT82" i="1"/>
  <c r="AV81" i="1"/>
  <c r="AU81" i="1"/>
  <c r="AT81" i="1"/>
  <c r="AV80" i="1"/>
  <c r="AU80" i="1"/>
  <c r="AV79" i="1"/>
  <c r="AU79" i="1"/>
  <c r="AV78" i="1"/>
  <c r="AU78" i="1"/>
  <c r="AT78" i="1"/>
  <c r="AV77" i="1"/>
  <c r="AU77" i="1"/>
  <c r="AV76" i="1"/>
  <c r="AU76" i="1"/>
  <c r="AT76" i="1"/>
  <c r="AV75" i="1"/>
  <c r="AU75" i="1"/>
  <c r="AT75" i="1"/>
  <c r="AV74" i="1"/>
  <c r="AU74" i="1"/>
  <c r="AT74" i="1"/>
  <c r="AV73" i="1"/>
  <c r="AU73" i="1"/>
  <c r="AT73" i="1"/>
  <c r="AV72" i="1"/>
  <c r="AU72" i="1"/>
  <c r="AT72" i="1"/>
  <c r="AV71" i="1"/>
  <c r="AU71" i="1"/>
  <c r="AV70" i="1"/>
  <c r="AU70" i="1"/>
  <c r="AT70" i="1"/>
  <c r="AV69" i="1"/>
  <c r="AU69" i="1"/>
  <c r="AV68" i="1"/>
  <c r="AU68" i="1"/>
  <c r="AV67" i="1"/>
  <c r="AU67" i="1"/>
  <c r="AT67" i="1"/>
  <c r="AV66" i="1"/>
  <c r="AU66" i="1"/>
  <c r="AT66" i="1"/>
  <c r="AV65" i="1"/>
  <c r="AU65" i="1"/>
  <c r="AV64" i="1"/>
  <c r="AU64" i="1"/>
  <c r="AT64" i="1"/>
  <c r="AV63" i="1"/>
  <c r="AU63" i="1"/>
  <c r="AT63" i="1"/>
  <c r="AV62" i="1"/>
  <c r="AU62" i="1"/>
  <c r="AT62" i="1"/>
  <c r="AV61" i="1"/>
  <c r="AU61" i="1"/>
  <c r="AV60" i="1"/>
  <c r="AU60" i="1"/>
  <c r="AV59" i="1"/>
  <c r="AU59" i="1"/>
  <c r="AT59" i="1"/>
  <c r="AV58" i="1"/>
  <c r="AU58" i="1"/>
  <c r="AT58" i="1"/>
  <c r="AV57" i="1"/>
  <c r="AU57" i="1"/>
  <c r="AV56" i="1"/>
  <c r="AU56" i="1"/>
  <c r="AT56" i="1"/>
  <c r="AV55" i="1"/>
  <c r="AU55" i="1"/>
  <c r="AT55" i="1"/>
  <c r="AV54" i="1"/>
  <c r="AU54" i="1"/>
  <c r="AV53" i="1"/>
  <c r="AU53" i="1"/>
  <c r="AT53" i="1"/>
  <c r="AV52" i="1"/>
  <c r="AU52" i="1"/>
  <c r="AT52" i="1"/>
  <c r="AV51" i="1"/>
  <c r="AU51" i="1"/>
  <c r="AT51" i="1"/>
  <c r="AV50" i="1"/>
  <c r="AU50" i="1"/>
  <c r="AT50" i="1"/>
  <c r="AV49" i="1"/>
  <c r="AU49" i="1"/>
  <c r="AV48" i="1"/>
  <c r="AU48" i="1"/>
  <c r="AT48" i="1"/>
  <c r="AV47" i="1"/>
  <c r="AU47" i="1"/>
  <c r="AT47" i="1"/>
  <c r="AV46" i="1"/>
  <c r="AU46" i="1"/>
  <c r="AT46" i="1"/>
  <c r="AV45" i="1"/>
  <c r="AU45" i="1"/>
  <c r="AT45" i="1"/>
  <c r="AV44" i="1"/>
  <c r="AU44" i="1"/>
  <c r="AT44" i="1"/>
  <c r="AV43" i="1"/>
  <c r="AU43" i="1"/>
  <c r="AT43" i="1"/>
  <c r="AV42" i="1"/>
  <c r="AU42" i="1"/>
  <c r="AV41" i="1"/>
  <c r="AU41" i="1"/>
  <c r="AV40" i="1"/>
  <c r="AU40" i="1"/>
  <c r="AT40" i="1"/>
  <c r="AV39" i="1"/>
  <c r="AU39" i="1"/>
  <c r="AV38" i="1"/>
  <c r="AU38" i="1"/>
  <c r="AV37" i="1"/>
  <c r="AU37" i="1"/>
  <c r="AT37" i="1"/>
  <c r="AV36" i="1"/>
  <c r="AU36" i="1"/>
  <c r="AT36" i="1"/>
  <c r="AV35" i="1"/>
  <c r="AU35" i="1"/>
  <c r="AV34" i="1"/>
  <c r="AU34" i="1"/>
  <c r="AV33" i="1"/>
  <c r="AU33" i="1"/>
  <c r="AV32" i="1"/>
  <c r="AU32" i="1"/>
  <c r="AV31" i="1"/>
  <c r="AU31" i="1"/>
  <c r="AT31" i="1"/>
  <c r="AV30" i="1"/>
  <c r="AU30" i="1"/>
  <c r="AT30" i="1"/>
  <c r="AV29" i="1"/>
  <c r="AU29" i="1"/>
  <c r="AV28" i="1"/>
  <c r="AU28" i="1"/>
  <c r="AT28" i="1"/>
  <c r="AV27" i="1"/>
  <c r="AU27" i="1"/>
  <c r="AT27" i="1"/>
  <c r="AV26" i="1"/>
  <c r="AU26" i="1"/>
  <c r="AV25" i="1"/>
  <c r="AU25" i="1"/>
  <c r="AT25" i="1"/>
  <c r="AV24" i="1"/>
  <c r="AU24" i="1"/>
  <c r="AV23" i="1"/>
  <c r="AU23" i="1"/>
  <c r="AT23" i="1"/>
  <c r="AV22" i="1"/>
  <c r="AU22" i="1"/>
  <c r="AT22" i="1"/>
  <c r="AV21" i="1"/>
  <c r="AU21" i="1"/>
  <c r="AV20" i="1"/>
  <c r="AU20" i="1"/>
  <c r="AV19" i="1"/>
  <c r="AU19" i="1"/>
  <c r="AT19" i="1"/>
  <c r="AV18" i="1"/>
  <c r="AU18" i="1"/>
  <c r="AT18" i="1"/>
  <c r="AV17" i="1"/>
  <c r="AU17" i="1"/>
  <c r="AT17" i="1"/>
  <c r="AV16" i="1"/>
  <c r="AU16" i="1"/>
  <c r="AT16" i="1"/>
  <c r="AV15" i="1"/>
  <c r="AU15" i="1"/>
  <c r="AT15" i="1"/>
  <c r="AV14" i="1"/>
  <c r="AU14" i="1"/>
  <c r="AV13" i="1"/>
  <c r="AU13" i="1"/>
  <c r="AV12" i="1"/>
  <c r="AU12" i="1"/>
  <c r="AT12" i="1"/>
  <c r="AV11" i="1"/>
  <c r="AU11" i="1"/>
  <c r="AT11" i="1"/>
  <c r="AV10" i="1"/>
  <c r="AU10" i="1"/>
  <c r="AT10" i="1"/>
  <c r="AV9" i="1"/>
  <c r="AU9" i="1"/>
  <c r="AT9" i="1"/>
  <c r="AV8" i="1"/>
  <c r="AU8" i="1"/>
  <c r="AV7" i="1"/>
  <c r="AU7" i="1"/>
  <c r="AT7" i="1"/>
  <c r="AV6" i="1"/>
  <c r="AU6" i="1"/>
  <c r="AV5" i="1"/>
  <c r="AU5" i="1"/>
  <c r="AT5" i="1"/>
  <c r="AV4" i="1"/>
  <c r="AU4" i="1"/>
  <c r="AT4" i="1"/>
  <c r="AV3" i="1"/>
  <c r="AU3" i="1"/>
  <c r="AT3" i="1"/>
  <c r="AV2" i="1"/>
  <c r="AU2" i="1"/>
</calcChain>
</file>

<file path=xl/sharedStrings.xml><?xml version="1.0" encoding="utf-8"?>
<sst xmlns="http://schemas.openxmlformats.org/spreadsheetml/2006/main" count="4606" uniqueCount="1948">
  <si>
    <t>Collection Code</t>
  </si>
  <si>
    <t>Location Code</t>
  </si>
  <si>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</si>
  <si>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</si>
  <si>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</si>
  <si>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</si>
  <si>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</si>
  <si>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</si>
  <si>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</si>
  <si>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</si>
  <si>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</si>
  <si>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</si>
  <si>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</si>
  <si>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</si>
  <si>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</si>
  <si>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</si>
  <si>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</si>
  <si>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</si>
  <si>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</si>
  <si>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</si>
  <si>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</si>
  <si>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</si>
  <si>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</si>
  <si>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</si>
  <si>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</si>
  <si>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</si>
  <si>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</si>
  <si>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</si>
  <si>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</si>
  <si>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</si>
  <si>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</si>
  <si>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</si>
  <si>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</si>
  <si>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</si>
  <si>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</si>
  <si>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</si>
  <si>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</si>
  <si>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</si>
  <si>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</si>
  <si>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</si>
  <si>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</si>
  <si>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</si>
  <si>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</si>
  <si>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</si>
  <si>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</si>
  <si>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</si>
  <si>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</si>
  <si>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</si>
  <si>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</si>
  <si>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</si>
  <si>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</si>
  <si>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</si>
  <si>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</si>
  <si>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</si>
  <si>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</si>
  <si>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</si>
  <si>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</si>
  <si>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CURAL</t>
  </si>
  <si>
    <t>SHELVES</t>
  </si>
  <si>
    <t>BM155 .O3 1937</t>
  </si>
  <si>
    <t>0                      BM 0155000O  3           1937</t>
  </si>
  <si>
    <t>Hebrew religion ; its origin and development / by W. O. E. Oesterley and Theodore H. Robinson.</t>
  </si>
  <si>
    <t>No</t>
  </si>
  <si>
    <t>1</t>
  </si>
  <si>
    <t>0</t>
  </si>
  <si>
    <t>Oesterley, W. O. E. (William Oscar Emil), 1866-1950.</t>
  </si>
  <si>
    <t>London : Society for Promoting Christian Knowledge, 1966, c1937.</t>
  </si>
  <si>
    <t>1966</t>
  </si>
  <si>
    <t>eng</t>
  </si>
  <si>
    <t>___</t>
  </si>
  <si>
    <t xml:space="preserve">BM </t>
  </si>
  <si>
    <t>2010-02-16</t>
  </si>
  <si>
    <t>1990-10-25</t>
  </si>
  <si>
    <t>2112567:eng</t>
  </si>
  <si>
    <t>388021</t>
  </si>
  <si>
    <t>991002653789702656</t>
  </si>
  <si>
    <t>2254941390002656</t>
  </si>
  <si>
    <t>BOOK</t>
  </si>
  <si>
    <t>32285000354067</t>
  </si>
  <si>
    <t>893804855</t>
  </si>
  <si>
    <t>BM155.2 .H57</t>
  </si>
  <si>
    <t>0                      BM 0155200H  57</t>
  </si>
  <si>
    <t>A History of Judaism.</t>
  </si>
  <si>
    <t>V.1</t>
  </si>
  <si>
    <t>Yes</t>
  </si>
  <si>
    <t>New York : Basic Books, [1974]</t>
  </si>
  <si>
    <t>1974</t>
  </si>
  <si>
    <t>nyu</t>
  </si>
  <si>
    <t>1993-04-12</t>
  </si>
  <si>
    <t>1990-05-07</t>
  </si>
  <si>
    <t>3372139297:eng</t>
  </si>
  <si>
    <t>1177000</t>
  </si>
  <si>
    <t>991003599459702656</t>
  </si>
  <si>
    <t>2264758060002656</t>
  </si>
  <si>
    <t>9780465030088</t>
  </si>
  <si>
    <t>32285000150218</t>
  </si>
  <si>
    <t>893441473</t>
  </si>
  <si>
    <t>V.2</t>
  </si>
  <si>
    <t>32285000354083</t>
  </si>
  <si>
    <t>893441472</t>
  </si>
  <si>
    <t>BM155.2 .N46 1987</t>
  </si>
  <si>
    <t>0                      BM 0155200N  46          1987</t>
  </si>
  <si>
    <t>Self-fulfilling prophecy : exile and return in the history of Judaism / Jacob Neusner.</t>
  </si>
  <si>
    <t>Neusner, Jacob, 1932-2016.</t>
  </si>
  <si>
    <t>Boston : Beacon Press, c1987.</t>
  </si>
  <si>
    <t>1987</t>
  </si>
  <si>
    <t>mau</t>
  </si>
  <si>
    <t>2002-11-06</t>
  </si>
  <si>
    <t>7774697:eng</t>
  </si>
  <si>
    <t>14188159</t>
  </si>
  <si>
    <t>991000918259702656</t>
  </si>
  <si>
    <t>2261840710002656</t>
  </si>
  <si>
    <t>9780807036068</t>
  </si>
  <si>
    <t>32285000354117</t>
  </si>
  <si>
    <t>893528494</t>
  </si>
  <si>
    <t>BM155.2 .T7</t>
  </si>
  <si>
    <t>0                      BM 0155200T  7</t>
  </si>
  <si>
    <t>Eternal faith, eternal people : a journey into Judaism.</t>
  </si>
  <si>
    <t>Trepp, Leo.</t>
  </si>
  <si>
    <t>Englewoods Cliffs, N.J., Prentice-Hall, 1962.</t>
  </si>
  <si>
    <t>1962</t>
  </si>
  <si>
    <t>1997-04-22</t>
  </si>
  <si>
    <t>367256384:eng</t>
  </si>
  <si>
    <t>599184</t>
  </si>
  <si>
    <t>991003036159702656</t>
  </si>
  <si>
    <t>2267205140002656</t>
  </si>
  <si>
    <t>32285000354141</t>
  </si>
  <si>
    <t>893239831</t>
  </si>
  <si>
    <t>BM157 .C313</t>
  </si>
  <si>
    <t>0                      BM 0157000C  313</t>
  </si>
  <si>
    <t>The philosophy of Judaism; the development of Jewish thought throughout the ages, the Bible, the Talmud, the Jewish philosophers, and the Cabala, until the present time.</t>
  </si>
  <si>
    <t>Cahn, Zvi.</t>
  </si>
  <si>
    <t>New York, Macmillan, 1962.</t>
  </si>
  <si>
    <t>2003-11-03</t>
  </si>
  <si>
    <t>1396064:eng</t>
  </si>
  <si>
    <t>244607</t>
  </si>
  <si>
    <t>991001919539702656</t>
  </si>
  <si>
    <t>2270032260002656</t>
  </si>
  <si>
    <t>32285000354158</t>
  </si>
  <si>
    <t>893444860</t>
  </si>
  <si>
    <t>BM165 .C76 1994</t>
  </si>
  <si>
    <t>0                      BM 0165000C  76          1994</t>
  </si>
  <si>
    <t>Frank Moore Cross : conversations with a Bible scholar / Hershel Shanks, editor.</t>
  </si>
  <si>
    <t>Cross, Frank Moore.</t>
  </si>
  <si>
    <t>Washington, D.C. : Biblical Archaeology Society, c1994.</t>
  </si>
  <si>
    <t>1994</t>
  </si>
  <si>
    <t>dcu</t>
  </si>
  <si>
    <t>2007-03-29</t>
  </si>
  <si>
    <t>1996-01-10</t>
  </si>
  <si>
    <t>372961616:eng</t>
  </si>
  <si>
    <t>30780290</t>
  </si>
  <si>
    <t>991002368039702656</t>
  </si>
  <si>
    <t>2264741000002656</t>
  </si>
  <si>
    <t>9781880317181</t>
  </si>
  <si>
    <t>32285002116514</t>
  </si>
  <si>
    <t>893898671</t>
  </si>
  <si>
    <t>BM165 .F6413</t>
  </si>
  <si>
    <t>0                      BM 0165000F  6413</t>
  </si>
  <si>
    <t>History of Israelite religion / translated by David E. Green.</t>
  </si>
  <si>
    <t>Fohrer, Georg.</t>
  </si>
  <si>
    <t>Nashville, Abingdon Press [1972]</t>
  </si>
  <si>
    <t>1972</t>
  </si>
  <si>
    <t>tnu</t>
  </si>
  <si>
    <t>1999-12-01</t>
  </si>
  <si>
    <t>1500698:eng</t>
  </si>
  <si>
    <t>297784</t>
  </si>
  <si>
    <t>991002247729702656</t>
  </si>
  <si>
    <t>2264786400002656</t>
  </si>
  <si>
    <t>9780687172252</t>
  </si>
  <si>
    <t>32285000354208</t>
  </si>
  <si>
    <t>893529738</t>
  </si>
  <si>
    <t>BM165 .L5713 1976</t>
  </si>
  <si>
    <t>0                      BM 0165000L  5713        1976</t>
  </si>
  <si>
    <t>Israel, from its beginnings to the middle of the eighth century / by Adolphe Lods ; translated by S. H. Hooke.</t>
  </si>
  <si>
    <t>Lods, Adolphe, 1867-1948.</t>
  </si>
  <si>
    <t>New York : AMS Press, 1976.</t>
  </si>
  <si>
    <t>1976</t>
  </si>
  <si>
    <t>2007-03-05</t>
  </si>
  <si>
    <t>3805346771:eng</t>
  </si>
  <si>
    <t>2372221</t>
  </si>
  <si>
    <t>991004100769702656</t>
  </si>
  <si>
    <t>2255392960002656</t>
  </si>
  <si>
    <t>9780404145699</t>
  </si>
  <si>
    <t>32285000354232</t>
  </si>
  <si>
    <t>893869283</t>
  </si>
  <si>
    <t>BM165 .M4 1960</t>
  </si>
  <si>
    <t>0                      BM 0165000M  4           1960</t>
  </si>
  <si>
    <t>Hebrew origins / Theophile James Meek.</t>
  </si>
  <si>
    <t>Meek, Theophile James, 1881-1966.</t>
  </si>
  <si>
    <t>New York, Harper [1960]</t>
  </si>
  <si>
    <t>1960</t>
  </si>
  <si>
    <t>Harper torchbooks. The cloister library, TB69</t>
  </si>
  <si>
    <t>142160377:eng</t>
  </si>
  <si>
    <t>575315</t>
  </si>
  <si>
    <t>991002603949702656</t>
  </si>
  <si>
    <t>2263064190002656</t>
  </si>
  <si>
    <t>32285000354257</t>
  </si>
  <si>
    <t>893517494</t>
  </si>
  <si>
    <t>BM165 .P56</t>
  </si>
  <si>
    <t>0                      BM 0165000P  56</t>
  </si>
  <si>
    <t>The Jewish Christians of the early centuries of Christianity according to a new source / by Shlomo Pines.</t>
  </si>
  <si>
    <t>Pines, Shlomo, 1908-1990.</t>
  </si>
  <si>
    <t>Jerusalem : Israel Academy of Sciences and Humanities, 1966.</t>
  </si>
  <si>
    <t xml:space="preserve">is </t>
  </si>
  <si>
    <t>Proceedings of the Israel Academy of Sciences and Humanities ; v. 2, no. 13</t>
  </si>
  <si>
    <t>2009-03-23</t>
  </si>
  <si>
    <t>6912987:eng</t>
  </si>
  <si>
    <t>13610178</t>
  </si>
  <si>
    <t>991004426479702656</t>
  </si>
  <si>
    <t>2259016350002656</t>
  </si>
  <si>
    <t>32285000354273</t>
  </si>
  <si>
    <t>893411526</t>
  </si>
  <si>
    <t>BM165 .R4</t>
  </si>
  <si>
    <t>0                      BM 0165000R  4</t>
  </si>
  <si>
    <t>The religion of Israel / by Henry Renckens. Translated by N. B. Smith.</t>
  </si>
  <si>
    <t>Renckens, Henricus.</t>
  </si>
  <si>
    <t>New York : Sheed and Ward, 1966.</t>
  </si>
  <si>
    <t>1999-02-01</t>
  </si>
  <si>
    <t>1150898561:eng</t>
  </si>
  <si>
    <t>393107</t>
  </si>
  <si>
    <t>991002665689702656</t>
  </si>
  <si>
    <t>2263815200002656</t>
  </si>
  <si>
    <t>32285000354281</t>
  </si>
  <si>
    <t>893445295</t>
  </si>
  <si>
    <t>BM165 .R513</t>
  </si>
  <si>
    <t>0                      BM 0165000R  513</t>
  </si>
  <si>
    <t>Israelite religion / translated by David E. Green.</t>
  </si>
  <si>
    <t>Ringgren, Helmer, 1917-2012.</t>
  </si>
  <si>
    <t>Philadelphia, Fortress Press [1966]</t>
  </si>
  <si>
    <t>pau</t>
  </si>
  <si>
    <t>1998-05-26</t>
  </si>
  <si>
    <t>350335187:eng</t>
  </si>
  <si>
    <t>335538</t>
  </si>
  <si>
    <t>991002398189702656</t>
  </si>
  <si>
    <t>2256920970002656</t>
  </si>
  <si>
    <t>32285000354299</t>
  </si>
  <si>
    <t>893329021</t>
  </si>
  <si>
    <t>BM165 .S53</t>
  </si>
  <si>
    <t>0                      BM 0165000S  53</t>
  </si>
  <si>
    <t>The foundations of Judaism from Biblical origins to the sixth century A.D. / by Phillip Sigal.</t>
  </si>
  <si>
    <t>V.1 PT.1</t>
  </si>
  <si>
    <t>Sigal, Phillip.</t>
  </si>
  <si>
    <t>Pittsburgh : Pickwick Press, 1980.</t>
  </si>
  <si>
    <t>1980</t>
  </si>
  <si>
    <t>His The emergence of contemporary Judaism ; v. 1</t>
  </si>
  <si>
    <t>1996-09-26</t>
  </si>
  <si>
    <t>2000-04-03</t>
  </si>
  <si>
    <t>17328481:eng</t>
  </si>
  <si>
    <t>5412564</t>
  </si>
  <si>
    <t>991004832399702656</t>
  </si>
  <si>
    <t>2258891510002656</t>
  </si>
  <si>
    <t>9780915138302</t>
  </si>
  <si>
    <t>32285000354307</t>
  </si>
  <si>
    <t>893263468</t>
  </si>
  <si>
    <t>V.1 PT.2</t>
  </si>
  <si>
    <t>32285000354315</t>
  </si>
  <si>
    <t>893260224</t>
  </si>
  <si>
    <t>BM168 .M8</t>
  </si>
  <si>
    <t>0                      BM 0168000M  8</t>
  </si>
  <si>
    <t>The way of Israel : Biblical faith and ethics / by James Muilenburg.</t>
  </si>
  <si>
    <t>Muilenburg, James.</t>
  </si>
  <si>
    <t>New York, Harper [1961]</t>
  </si>
  <si>
    <t>1961</t>
  </si>
  <si>
    <t>[1st ed.]</t>
  </si>
  <si>
    <t>Religious perspectives ; v. 5</t>
  </si>
  <si>
    <t>1999-01-21</t>
  </si>
  <si>
    <t>4161010037:eng</t>
  </si>
  <si>
    <t>382722</t>
  </si>
  <si>
    <t>991002636859702656</t>
  </si>
  <si>
    <t>2260370820002656</t>
  </si>
  <si>
    <t>32285000354364</t>
  </si>
  <si>
    <t>893886515</t>
  </si>
  <si>
    <t>BM170 .N455 1986</t>
  </si>
  <si>
    <t>0                      BM 0170000N  455         1986</t>
  </si>
  <si>
    <t>Ancient Judaism and modern category-formation : "Judaism," "Midrash," "Messianism," and canon in the past quarter-century / Jacob Neusner.</t>
  </si>
  <si>
    <t>Lanham, MD : University Press of America, c1986.</t>
  </si>
  <si>
    <t>1986</t>
  </si>
  <si>
    <t>mdu</t>
  </si>
  <si>
    <t>Studies in Judaism</t>
  </si>
  <si>
    <t>2001-02-15</t>
  </si>
  <si>
    <t>1990-04-24</t>
  </si>
  <si>
    <t>5858276:eng</t>
  </si>
  <si>
    <t>13095677</t>
  </si>
  <si>
    <t>991000780899702656</t>
  </si>
  <si>
    <t>2256091090002656</t>
  </si>
  <si>
    <t>9780819153968</t>
  </si>
  <si>
    <t>32285000115773</t>
  </si>
  <si>
    <t>893614495</t>
  </si>
  <si>
    <t>BM173 .F55</t>
  </si>
  <si>
    <t>0                      BM 0173000F  55</t>
  </si>
  <si>
    <t>Pharisaism in the making; selected essays / by Louis Finkelstein.</t>
  </si>
  <si>
    <t>Finkelstein, Louis, 1895-1991.</t>
  </si>
  <si>
    <t>[New York] Ktav Pub. House, 1972.</t>
  </si>
  <si>
    <t>1993-04-15</t>
  </si>
  <si>
    <t>1530819:eng</t>
  </si>
  <si>
    <t>393028</t>
  </si>
  <si>
    <t>991002665479702656</t>
  </si>
  <si>
    <t>2263807250002656</t>
  </si>
  <si>
    <t>9780870681783</t>
  </si>
  <si>
    <t>32285000354414</t>
  </si>
  <si>
    <t>893591627</t>
  </si>
  <si>
    <t>BM175.P4 N44 1973</t>
  </si>
  <si>
    <t>0                      BM 0175000P  4                  N  44          1973</t>
  </si>
  <si>
    <t>From politics to piety; the emergence of Pharisaic Judaism.</t>
  </si>
  <si>
    <t>Englewood Cliffs, N.J., Prentice-Hall [1972, c1973]</t>
  </si>
  <si>
    <t>nju</t>
  </si>
  <si>
    <t>1994-02-21</t>
  </si>
  <si>
    <t>1565229:eng</t>
  </si>
  <si>
    <t>539677</t>
  </si>
  <si>
    <t>991002952329702656</t>
  </si>
  <si>
    <t>2262046150002656</t>
  </si>
  <si>
    <t>9780133314472</t>
  </si>
  <si>
    <t>32285000354505</t>
  </si>
  <si>
    <t>893616814</t>
  </si>
  <si>
    <t>BM175.P4 R58</t>
  </si>
  <si>
    <t>0                      BM 0175000P  4                  R  58</t>
  </si>
  <si>
    <t>A hidden revolution : the Pharisees' search for the kingdom within / Ellis Rivkin. --</t>
  </si>
  <si>
    <t>Rivkin, Ellis, 1918-2010.</t>
  </si>
  <si>
    <t>Nashville : Abingdon, c1978.</t>
  </si>
  <si>
    <t>1978</t>
  </si>
  <si>
    <t>1993-04-14</t>
  </si>
  <si>
    <t>434355:eng</t>
  </si>
  <si>
    <t>4004001</t>
  </si>
  <si>
    <t>991004563699702656</t>
  </si>
  <si>
    <t>2265214730002656</t>
  </si>
  <si>
    <t>9780687169702</t>
  </si>
  <si>
    <t>32285000354539</t>
  </si>
  <si>
    <t>893411693</t>
  </si>
  <si>
    <t>BM175.Q6 A4</t>
  </si>
  <si>
    <t>0                      BM 0175000Q  6                  A  4</t>
  </si>
  <si>
    <t>The People of the Dead Sea Scrolls : in text and pictures / by John Marco Allegro.</t>
  </si>
  <si>
    <t>Allegro, John Marco, 1923-</t>
  </si>
  <si>
    <t>Garden City, N. Y., Doubleday, 1958.</t>
  </si>
  <si>
    <t>1958</t>
  </si>
  <si>
    <t>[1st. ed.]</t>
  </si>
  <si>
    <t>2000-02-24</t>
  </si>
  <si>
    <t>332508636:eng</t>
  </si>
  <si>
    <t>2732770</t>
  </si>
  <si>
    <t>991004226669702656</t>
  </si>
  <si>
    <t>2256036870002656</t>
  </si>
  <si>
    <t>32285000354547</t>
  </si>
  <si>
    <t>893331338</t>
  </si>
  <si>
    <t>BM175.Q6 C7</t>
  </si>
  <si>
    <t>0                      BM 0175000Q  6                  C  7</t>
  </si>
  <si>
    <t>The ancient library of Qumrân and modern Biblical studies / by Frank Moore Cross, Jr.</t>
  </si>
  <si>
    <t>Garden City, N.Y., Doubleday, 1958.</t>
  </si>
  <si>
    <t>The Haskell lectures, 1956-1957</t>
  </si>
  <si>
    <t>2000-02-15</t>
  </si>
  <si>
    <t>501885:eng</t>
  </si>
  <si>
    <t>260187</t>
  </si>
  <si>
    <t>991002030899702656</t>
  </si>
  <si>
    <t>2266132930002656</t>
  </si>
  <si>
    <t>32285000354562</t>
  </si>
  <si>
    <t>893238557</t>
  </si>
  <si>
    <t>BM175.Q6 P513</t>
  </si>
  <si>
    <t>0                      BM 0175000Q  6                  P  513</t>
  </si>
  <si>
    <t>The excavations at Qumran; a survey of the Judaean brotherhood and its ideas / translated by Kevin Smyth.</t>
  </si>
  <si>
    <t>Ploeg, J. P. M. van der, 1909-</t>
  </si>
  <si>
    <t>London, New York, Longmans, Green 1958</t>
  </si>
  <si>
    <t>enk</t>
  </si>
  <si>
    <t>2009-09-08</t>
  </si>
  <si>
    <t>5955848:eng</t>
  </si>
  <si>
    <t>362058</t>
  </si>
  <si>
    <t>991002489099702656</t>
  </si>
  <si>
    <t>2262089650002656</t>
  </si>
  <si>
    <t>32285000354570</t>
  </si>
  <si>
    <t>893886345</t>
  </si>
  <si>
    <t>BM175.Q6 R3 1976</t>
  </si>
  <si>
    <t>0                      BM 0175000Q  6                  R  3           1976</t>
  </si>
  <si>
    <t>Qumran studies / by Chaim Rabin.</t>
  </si>
  <si>
    <t>Rabin, Chaim.</t>
  </si>
  <si>
    <t>Westport, Conn. : Greenwood Press, 1976, c1957.</t>
  </si>
  <si>
    <t>ctu</t>
  </si>
  <si>
    <t>2005-12-11</t>
  </si>
  <si>
    <t>1990-03-16</t>
  </si>
  <si>
    <t>1968914:eng</t>
  </si>
  <si>
    <t>2401870</t>
  </si>
  <si>
    <t>991004113139702656</t>
  </si>
  <si>
    <t>2266153820002656</t>
  </si>
  <si>
    <t>9780837190600</t>
  </si>
  <si>
    <t>32285000090315</t>
  </si>
  <si>
    <t>893435899</t>
  </si>
  <si>
    <t>BM175.Q6 S8</t>
  </si>
  <si>
    <t>0                      BM 0175000Q  6                  S  8</t>
  </si>
  <si>
    <t>The monks of Qumran as depicted in the Dead Sea scrolls, with translations in English / by Edmund F. Sutcliffe.</t>
  </si>
  <si>
    <t>Sutcliffe, Edmund F. (Edmund Felix)</t>
  </si>
  <si>
    <t>Westminster, Md., Newman Press, 1960.</t>
  </si>
  <si>
    <t>2005-04-28</t>
  </si>
  <si>
    <t>1417040:eng</t>
  </si>
  <si>
    <t>362549</t>
  </si>
  <si>
    <t>991002490479702656</t>
  </si>
  <si>
    <t>2262415290002656</t>
  </si>
  <si>
    <t>32285000354604</t>
  </si>
  <si>
    <t>893530064</t>
  </si>
  <si>
    <t>BM175.Q6 W45 1986</t>
  </si>
  <si>
    <t>0                      BM 0175000Q  6                  W  45          1986</t>
  </si>
  <si>
    <t>The organizational pattern and the penal code of the Qumran Sect : a comparison with guilds and religious associations of the Hellenistic-Roman period / Moshe Weinfeld.</t>
  </si>
  <si>
    <t>Weinfeld, Moshe.</t>
  </si>
  <si>
    <t>Fribourg [Suisse] : Éditions Universitaires ; Göttingen : Vandenhoeck und Ruprecht, c1986.</t>
  </si>
  <si>
    <t xml:space="preserve">sz </t>
  </si>
  <si>
    <t>Novum Testamentum et orbis antiquus ; 2</t>
  </si>
  <si>
    <t>1996-03-01</t>
  </si>
  <si>
    <t>1991-07-12</t>
  </si>
  <si>
    <t>807761712:eng</t>
  </si>
  <si>
    <t>14696427</t>
  </si>
  <si>
    <t>991000953919702656</t>
  </si>
  <si>
    <t>2260436190002656</t>
  </si>
  <si>
    <t>9783525539019</t>
  </si>
  <si>
    <t>32285000639236</t>
  </si>
  <si>
    <t>893772159</t>
  </si>
  <si>
    <t>BM175.Z4 B7</t>
  </si>
  <si>
    <t>0                      BM 0175000Z  4                  B  7</t>
  </si>
  <si>
    <t>Jesus and the Zealots: a study of the political factor in primitive Christianity / by S. G. F. Brandon.</t>
  </si>
  <si>
    <t>Brandon, S. G. F. (Samuel George Frederick), 1907-1971.</t>
  </si>
  <si>
    <t>Manchester, Manchester U.P., 1967.</t>
  </si>
  <si>
    <t>1967</t>
  </si>
  <si>
    <t>2009-03-19</t>
  </si>
  <si>
    <t>1543768:eng</t>
  </si>
  <si>
    <t>954847</t>
  </si>
  <si>
    <t>991003415639702656</t>
  </si>
  <si>
    <t>2260403530002656</t>
  </si>
  <si>
    <t>32285000354638</t>
  </si>
  <si>
    <t>893410254</t>
  </si>
  <si>
    <t>BM176 .D6</t>
  </si>
  <si>
    <t>0                      BM 0176000D  6</t>
  </si>
  <si>
    <t>The Bible and the Greeks / by C.H.Dodd.</t>
  </si>
  <si>
    <t>Dodd, C. H. (Charles Harold), 1884-1973.</t>
  </si>
  <si>
    <t>London, Hodder &amp; Staughton [1964]</t>
  </si>
  <si>
    <t>1964</t>
  </si>
  <si>
    <t>1998-04-30</t>
  </si>
  <si>
    <t>348878038:eng</t>
  </si>
  <si>
    <t>1204930</t>
  </si>
  <si>
    <t>991003618279702656</t>
  </si>
  <si>
    <t>2272062170002656</t>
  </si>
  <si>
    <t>32285000354679</t>
  </si>
  <si>
    <t>893900180</t>
  </si>
  <si>
    <t>BM176 .J8 1995</t>
  </si>
  <si>
    <t>0                      BM 0176000J  8           1995</t>
  </si>
  <si>
    <t>Judaism in late antiquity / edited by Jacob Neusner.</t>
  </si>
  <si>
    <t>Leiden ; New York : E.J. Brill, 1995-2001.</t>
  </si>
  <si>
    <t>1995</t>
  </si>
  <si>
    <t xml:space="preserve">ne </t>
  </si>
  <si>
    <t>Handbuch der Orientalistik. Erste Abteilung, der Nahe und Mittlere Osten, 0169-9423 ; 17, 41, 49, 53, 55-57 Bd.</t>
  </si>
  <si>
    <t>2004-11-08</t>
  </si>
  <si>
    <t>2868065480:eng</t>
  </si>
  <si>
    <t>30914389</t>
  </si>
  <si>
    <t>991004352229702656</t>
  </si>
  <si>
    <t>2272420870002656</t>
  </si>
  <si>
    <t>9789004101296</t>
  </si>
  <si>
    <t>32285005009492</t>
  </si>
  <si>
    <t>893263219</t>
  </si>
  <si>
    <t>BM176 .O4 1970</t>
  </si>
  <si>
    <t>0                      BM 0176000O  4           1970</t>
  </si>
  <si>
    <t>The Jews and Judaism during the Greek period ; the background of Christianity / by W. O. E. Oesterley.</t>
  </si>
  <si>
    <t>Port Washington, N. Y. : Kennikat Press, 1970.</t>
  </si>
  <si>
    <t>1970</t>
  </si>
  <si>
    <t>2009-02-25</t>
  </si>
  <si>
    <t>1990-10-29</t>
  </si>
  <si>
    <t>458346:eng</t>
  </si>
  <si>
    <t>946256</t>
  </si>
  <si>
    <t>991003406439702656</t>
  </si>
  <si>
    <t>2268167360002656</t>
  </si>
  <si>
    <t>9780804607407</t>
  </si>
  <si>
    <t>32285000354760</t>
  </si>
  <si>
    <t>893874730</t>
  </si>
  <si>
    <t>BM176 .O6616</t>
  </si>
  <si>
    <t>0                      BM 0176000O  6616</t>
  </si>
  <si>
    <t>The ʻam ha-aretz : a study in the social history of the Jewish people in the Hellenistic-Roman period / by Aharon Oppenheimer ; translated from the Hebrew by I. H. Levine. --</t>
  </si>
  <si>
    <t>Oppenheimer, Aharon, 1940-</t>
  </si>
  <si>
    <t>Leiden : E. J. Brill, 1977.</t>
  </si>
  <si>
    <t>1977</t>
  </si>
  <si>
    <t>Arbeiten zur Literatur und Geschichte des hellenistischen Judentums ; 8</t>
  </si>
  <si>
    <t>2007-09-07</t>
  </si>
  <si>
    <t>808841482:eng</t>
  </si>
  <si>
    <t>3007476</t>
  </si>
  <si>
    <t>991004316979702656</t>
  </si>
  <si>
    <t>2256074540002656</t>
  </si>
  <si>
    <t>9789004047648</t>
  </si>
  <si>
    <t>32285000354778</t>
  </si>
  <si>
    <t>893687600</t>
  </si>
  <si>
    <t>BM176 .P4 1963</t>
  </si>
  <si>
    <t>0                      BM 0176000P  4           1963</t>
  </si>
  <si>
    <t>History of New Testament times : with an introduction to the apocrypha / by Robert H. Pfeiffer.</t>
  </si>
  <si>
    <t>Pfeiffer, Robert H.</t>
  </si>
  <si>
    <t>London : Adam and Charles Black, [1963]</t>
  </si>
  <si>
    <t>1963</t>
  </si>
  <si>
    <t>2003-09-23</t>
  </si>
  <si>
    <t>196885622:eng</t>
  </si>
  <si>
    <t>168968</t>
  </si>
  <si>
    <t>991000959709702656</t>
  </si>
  <si>
    <t>2262289320002656</t>
  </si>
  <si>
    <t>32285000354786</t>
  </si>
  <si>
    <t>893515784</t>
  </si>
  <si>
    <t>BM176 .R8 1975</t>
  </si>
  <si>
    <t>0                      BM 0176000R  8           1975</t>
  </si>
  <si>
    <t>Between the Testaments / D.S. Russell.</t>
  </si>
  <si>
    <t>Russell, D. S. (David Syme), 1916-</t>
  </si>
  <si>
    <t>Philadelphia, Fortress Press [1975 , c1960]</t>
  </si>
  <si>
    <t>1975</t>
  </si>
  <si>
    <t>[Fourth printing]</t>
  </si>
  <si>
    <t xml:space="preserve">xx </t>
  </si>
  <si>
    <t>2000-08-30</t>
  </si>
  <si>
    <t>578041:eng</t>
  </si>
  <si>
    <t>2326920</t>
  </si>
  <si>
    <t>991004080499702656</t>
  </si>
  <si>
    <t>2261436850002656</t>
  </si>
  <si>
    <t>32285000354794</t>
  </si>
  <si>
    <t>893875657</t>
  </si>
  <si>
    <t>BM176 .S8</t>
  </si>
  <si>
    <t>0                      BM 0176000S  8</t>
  </si>
  <si>
    <t>Scriptures, sects and visions : a profile of Judaism from Ezra to the Jewish revolts / Michael Edward Stone.</t>
  </si>
  <si>
    <t>Stone, Michael E., 1938-</t>
  </si>
  <si>
    <t>Cleveland : Collins, 1980.</t>
  </si>
  <si>
    <t>ohu</t>
  </si>
  <si>
    <t>2000-08-29</t>
  </si>
  <si>
    <t>792740887:eng</t>
  </si>
  <si>
    <t>6598347</t>
  </si>
  <si>
    <t>991005010049702656</t>
  </si>
  <si>
    <t>2255945830002656</t>
  </si>
  <si>
    <t>9780002150514</t>
  </si>
  <si>
    <t>32285000354828</t>
  </si>
  <si>
    <t>893236161</t>
  </si>
  <si>
    <t>BM176 .T6</t>
  </si>
  <si>
    <t>0                      BM 0176000T  6</t>
  </si>
  <si>
    <t>The threshold of Christianity; between the Testaments / by Lawrence E. Toombs.</t>
  </si>
  <si>
    <t>Toombs, Lawrence E.</t>
  </si>
  <si>
    <t>Philadelphia, Westminster Press [1960]</t>
  </si>
  <si>
    <t>Westminster guides to the Bible</t>
  </si>
  <si>
    <t>1996-08-30</t>
  </si>
  <si>
    <t>196185129:eng</t>
  </si>
  <si>
    <t>385291</t>
  </si>
  <si>
    <t>991002644329702656</t>
  </si>
  <si>
    <t>2258911170002656</t>
  </si>
  <si>
    <t>32285000354836</t>
  </si>
  <si>
    <t>893329345</t>
  </si>
  <si>
    <t>BM177 .A4213 1977</t>
  </si>
  <si>
    <t>0                      BM 0177000A  4213        1977</t>
  </si>
  <si>
    <t>Jews, Judaism, and the classical world : studies in Jewish history in the times of the Second Temple and Talmud / Gedalyahu Alon ; translated from the Hebrew by Israel Abrahams.</t>
  </si>
  <si>
    <t>Alon, Gedalia.</t>
  </si>
  <si>
    <t>Jerusalem : Magnes Press, 1977.</t>
  </si>
  <si>
    <t>2000-09-15</t>
  </si>
  <si>
    <t>1992-05-21</t>
  </si>
  <si>
    <t>273040784:eng</t>
  </si>
  <si>
    <t>3523824</t>
  </si>
  <si>
    <t>991004455539702656</t>
  </si>
  <si>
    <t>2261900340002656</t>
  </si>
  <si>
    <t>32285001112910</t>
  </si>
  <si>
    <t>893337746</t>
  </si>
  <si>
    <t>BM177 .M6 1971</t>
  </si>
  <si>
    <t>0                      BM 0177000M  6           1971</t>
  </si>
  <si>
    <t>Judaism in the first centuries of the Christian era, the age of the Tannaim.</t>
  </si>
  <si>
    <t>Moore, George Foot, 1851-1931.</t>
  </si>
  <si>
    <t>New York, Schocken Books [1971, c1927-30]</t>
  </si>
  <si>
    <t>1971</t>
  </si>
  <si>
    <t>Schocken paperbacks on Jewish life and religion</t>
  </si>
  <si>
    <t>1996-09-24</t>
  </si>
  <si>
    <t>4681123255:eng</t>
  </si>
  <si>
    <t>135347</t>
  </si>
  <si>
    <t>991000782079702656</t>
  </si>
  <si>
    <t>2263434730002656</t>
  </si>
  <si>
    <t>9780805202946</t>
  </si>
  <si>
    <t>32285000354885</t>
  </si>
  <si>
    <t>893790846</t>
  </si>
  <si>
    <t>BM177 .M6 1971 V.2</t>
  </si>
  <si>
    <t>0                      BM 0177000M  6           1971                                        V.2</t>
  </si>
  <si>
    <t>V.2*</t>
  </si>
  <si>
    <t>32285000354893</t>
  </si>
  <si>
    <t>893808818</t>
  </si>
  <si>
    <t>BM177 .N472 1982</t>
  </si>
  <si>
    <t>0                      BM 0177000N  472         1982</t>
  </si>
  <si>
    <t>Formative Judaism : religious, historical, and literary studies / by Jacob Neusner.</t>
  </si>
  <si>
    <t>Chico, Calif. : Scholars Press, c1982.</t>
  </si>
  <si>
    <t>1982</t>
  </si>
  <si>
    <t>cau</t>
  </si>
  <si>
    <t>Brown Judaic studies ; no. 37</t>
  </si>
  <si>
    <t>3901482409:eng</t>
  </si>
  <si>
    <t>8765087</t>
  </si>
  <si>
    <t>991000068189702656</t>
  </si>
  <si>
    <t>2267850950002656</t>
  </si>
  <si>
    <t>9780891305941</t>
  </si>
  <si>
    <t>32285000354919</t>
  </si>
  <si>
    <t>893514968</t>
  </si>
  <si>
    <t>BM177 .N4735 1993</t>
  </si>
  <si>
    <t>0                      BM 0177000N  4735        1993</t>
  </si>
  <si>
    <t>Judaic law from Jesus to the Mishnah : a systematic reply to Professor E.P. Sanders / by Jacob Neusner.</t>
  </si>
  <si>
    <t>Atlanta, Ga. : Scholars Press, c1993.</t>
  </si>
  <si>
    <t>1993</t>
  </si>
  <si>
    <t>gau</t>
  </si>
  <si>
    <t>South Florida studies in the history of Judaism ; no. 84</t>
  </si>
  <si>
    <t>2000-09-10</t>
  </si>
  <si>
    <t>1995-06-29</t>
  </si>
  <si>
    <t>138735578:eng</t>
  </si>
  <si>
    <t>27935120</t>
  </si>
  <si>
    <t>991002170029702656</t>
  </si>
  <si>
    <t>2258590900002656</t>
  </si>
  <si>
    <t>9781555408732</t>
  </si>
  <si>
    <t>32285002052842</t>
  </si>
  <si>
    <t>893615777</t>
  </si>
  <si>
    <t>BM177 .N475 1984</t>
  </si>
  <si>
    <t>0                      BM 0177000N  475         1984</t>
  </si>
  <si>
    <t>Judaism in the beginning of Christianity / Jacob Neusner.</t>
  </si>
  <si>
    <t>Philadelphia : Fortress Press, c1984.</t>
  </si>
  <si>
    <t>1984</t>
  </si>
  <si>
    <t>5007166:eng</t>
  </si>
  <si>
    <t>9758784</t>
  </si>
  <si>
    <t>991000252109702656</t>
  </si>
  <si>
    <t>2256924780002656</t>
  </si>
  <si>
    <t>9780800617509</t>
  </si>
  <si>
    <t>32285000354943</t>
  </si>
  <si>
    <t>893339426</t>
  </si>
  <si>
    <t>BM177 .S2 1977</t>
  </si>
  <si>
    <t>0                      BM 0177000S  2           1977</t>
  </si>
  <si>
    <t>Paul and Palestinian Judaism : a comparison of patterns of religion / E. P. Sanders.</t>
  </si>
  <si>
    <t>Sanders, E. P.</t>
  </si>
  <si>
    <t>Philadelphia : Fortress Press, 1977.</t>
  </si>
  <si>
    <t>1st American ed.</t>
  </si>
  <si>
    <t>2008-06-30</t>
  </si>
  <si>
    <t>969088:eng</t>
  </si>
  <si>
    <t>3308919</t>
  </si>
  <si>
    <t>991004402339702656</t>
  </si>
  <si>
    <t>2260057250002656</t>
  </si>
  <si>
    <t>9780800604998</t>
  </si>
  <si>
    <t>32285000354968</t>
  </si>
  <si>
    <t>893442574</t>
  </si>
  <si>
    <t>BM180 .J4</t>
  </si>
  <si>
    <t>0                      BM 0180000J  4</t>
  </si>
  <si>
    <t>Jewish Medieval and Renaissance studies / edited by Alexander Altmann.</t>
  </si>
  <si>
    <t>Cambridge, Mass., Harvard University Press, 1967.</t>
  </si>
  <si>
    <t>Philip W. Lown Institute of Advanced Judaic Studies, Brandeis University. Studies and texts, v.4</t>
  </si>
  <si>
    <t>2005-10-08</t>
  </si>
  <si>
    <t>1860541:eng</t>
  </si>
  <si>
    <t>883222</t>
  </si>
  <si>
    <t>991003350319702656</t>
  </si>
  <si>
    <t>2258590320002656</t>
  </si>
  <si>
    <t>32285000355007</t>
  </si>
  <si>
    <t>893799634</t>
  </si>
  <si>
    <t>BM197 .P55 1931</t>
  </si>
  <si>
    <t>0                      BM 0197000P  55          1931</t>
  </si>
  <si>
    <t>The reform movement in Judaism / by David Philipson.</t>
  </si>
  <si>
    <t>Philipson, David, 1862-1949.</t>
  </si>
  <si>
    <t>New York, The Macmillan Company, 1931.</t>
  </si>
  <si>
    <t>1931</t>
  </si>
  <si>
    <t>New and rev. ed.</t>
  </si>
  <si>
    <t>2000-10-26</t>
  </si>
  <si>
    <t>1303354:eng</t>
  </si>
  <si>
    <t>1172791</t>
  </si>
  <si>
    <t>991003590289702656</t>
  </si>
  <si>
    <t>2267138760002656</t>
  </si>
  <si>
    <t>32285000365097</t>
  </si>
  <si>
    <t>893893888</t>
  </si>
  <si>
    <t>BM198 .D7 1974</t>
  </si>
  <si>
    <t>0                      BM 0198000D  7           1974</t>
  </si>
  <si>
    <t>The zaddik : the doctrine of the zaddik according to the writings of Rabbi Yaakov Yosef of Polnoy / by Samuel H. Dresner.</t>
  </si>
  <si>
    <t>Dresner, Samuel H.</t>
  </si>
  <si>
    <t>New York : Schocken, [1974, c1960]</t>
  </si>
  <si>
    <t>1st Schocken pbk. ed.</t>
  </si>
  <si>
    <t>Schocken paperbacks on Judaica</t>
  </si>
  <si>
    <t>2008-06-11</t>
  </si>
  <si>
    <t>430817605:eng</t>
  </si>
  <si>
    <t>1004610</t>
  </si>
  <si>
    <t>991005234369702656</t>
  </si>
  <si>
    <t>2255114980002656</t>
  </si>
  <si>
    <t>32285005444566</t>
  </si>
  <si>
    <t>893619667</t>
  </si>
  <si>
    <t>BM198 .N2713 1982</t>
  </si>
  <si>
    <t>0                      BM 0198000N  2713        1982</t>
  </si>
  <si>
    <t>Upright practices ; The light of the eyes / Menahem Nahum of Chernobyl ; translation and introduction by Arthur Green ; preface by Samuel H. Dresner.</t>
  </si>
  <si>
    <t>Nahum, of Chernobyl, approximately 1730-approximately 1797.</t>
  </si>
  <si>
    <t>New York : Paulist Press, c1982.</t>
  </si>
  <si>
    <t>The Classics of Western spirituality</t>
  </si>
  <si>
    <t>2007-06-27</t>
  </si>
  <si>
    <t>466289:eng</t>
  </si>
  <si>
    <t>8652820</t>
  </si>
  <si>
    <t>991000041149702656</t>
  </si>
  <si>
    <t>2269645600002656</t>
  </si>
  <si>
    <t>9780809123742</t>
  </si>
  <si>
    <t>32285000365162</t>
  </si>
  <si>
    <t>893413022</t>
  </si>
  <si>
    <t>BM198 .W5125</t>
  </si>
  <si>
    <t>0                      BM 0198000W  5125</t>
  </si>
  <si>
    <t>Four Hasidic masters and their struggle against melancholy / by Elie Wiesel ; foreword, Theodore M. Hesburgh. --</t>
  </si>
  <si>
    <t>Wiesel, Elie, 1928-2016.</t>
  </si>
  <si>
    <t>Notre Dame [Ind.] : University of Notre Dame Press, c1978.</t>
  </si>
  <si>
    <t>inu</t>
  </si>
  <si>
    <t>Ward-Phillips lectures in English language and literature ; v. 9</t>
  </si>
  <si>
    <t>2003-10-30</t>
  </si>
  <si>
    <t>3373186997:eng</t>
  </si>
  <si>
    <t>3650015</t>
  </si>
  <si>
    <t>991004487939702656</t>
  </si>
  <si>
    <t>2261077290002656</t>
  </si>
  <si>
    <t>9780268009441</t>
  </si>
  <si>
    <t>32285000365170</t>
  </si>
  <si>
    <t>893718965</t>
  </si>
  <si>
    <t>BM205 .G5</t>
  </si>
  <si>
    <t>0                      BM 0205000G  5</t>
  </si>
  <si>
    <t>American Judaism / by Nathan Glazer.</t>
  </si>
  <si>
    <t>Glazer, Nathan.</t>
  </si>
  <si>
    <t>[Chicago] University of Chicago Press [1957]</t>
  </si>
  <si>
    <t>1957</t>
  </si>
  <si>
    <t>ilu</t>
  </si>
  <si>
    <t>The Chicago history of American civilization</t>
  </si>
  <si>
    <t>2008-03-28</t>
  </si>
  <si>
    <t>1379718:eng</t>
  </si>
  <si>
    <t>239461</t>
  </si>
  <si>
    <t>991002612119702656</t>
  </si>
  <si>
    <t>2264445150002656</t>
  </si>
  <si>
    <t>32285000365204</t>
  </si>
  <si>
    <t>893323146</t>
  </si>
  <si>
    <t>BM205 .N485 1985</t>
  </si>
  <si>
    <t>0                      BM 0205000N  485         1985</t>
  </si>
  <si>
    <t>Israel in America : a too-comfortable exile? / Jacob Neusner.</t>
  </si>
  <si>
    <t>Boston : Beacon Press, c1985.</t>
  </si>
  <si>
    <t>1985</t>
  </si>
  <si>
    <t>2000-11-16</t>
  </si>
  <si>
    <t>3887593:eng</t>
  </si>
  <si>
    <t>11370650</t>
  </si>
  <si>
    <t>991000525999702656</t>
  </si>
  <si>
    <t>2260004200002656</t>
  </si>
  <si>
    <t>9780807036020</t>
  </si>
  <si>
    <t>32285000365246</t>
  </si>
  <si>
    <t>893683507</t>
  </si>
  <si>
    <t>BM390 .Z8</t>
  </si>
  <si>
    <t>0                      BM 0390000Z  8</t>
  </si>
  <si>
    <t>The coming crisis in Israel; private faith and public policy [by] Norman L. Zucker, with the assistance of Naomi Flink Zucker.</t>
  </si>
  <si>
    <t>Zucker, Norman L.</t>
  </si>
  <si>
    <t>Cambridge, Mass., MIT Press [1973]</t>
  </si>
  <si>
    <t>1973</t>
  </si>
  <si>
    <t>1998-05-01</t>
  </si>
  <si>
    <t>1689620:eng</t>
  </si>
  <si>
    <t>572768</t>
  </si>
  <si>
    <t>991003005519702656</t>
  </si>
  <si>
    <t>2272403800002656</t>
  </si>
  <si>
    <t>9780262240185</t>
  </si>
  <si>
    <t>32285000365287</t>
  </si>
  <si>
    <t>893440808</t>
  </si>
  <si>
    <t>BM40 .M58</t>
  </si>
  <si>
    <t>0                      BM 0040000M  58</t>
  </si>
  <si>
    <t>Modern Jewish thought; selected issues, 1889-1966 / new introd. by Louis Jacobs.</t>
  </si>
  <si>
    <t>New York, Arno Press, 1973.</t>
  </si>
  <si>
    <t>The Jewish people: history, religion, literature</t>
  </si>
  <si>
    <t>1995-02-21</t>
  </si>
  <si>
    <t>1990-10-23</t>
  </si>
  <si>
    <t>350668566:eng</t>
  </si>
  <si>
    <t>667011</t>
  </si>
  <si>
    <t>991003121769702656</t>
  </si>
  <si>
    <t>2256708370002656</t>
  </si>
  <si>
    <t>9780405052835</t>
  </si>
  <si>
    <t>32285000353390</t>
  </si>
  <si>
    <t>893617025</t>
  </si>
  <si>
    <t>BM42 .N65</t>
  </si>
  <si>
    <t>0                      BM 0042000N  65</t>
  </si>
  <si>
    <t>Great Jewish thinkers of the twentieth century / edited with introductory essays.</t>
  </si>
  <si>
    <t>Noveck, Simon, editor.</t>
  </si>
  <si>
    <t>[Washington] B'nai B'rith, Dept. of Adult Jewish Education c1963, 1969 printing.</t>
  </si>
  <si>
    <t>B'nai B'rith great books series ; v. 3</t>
  </si>
  <si>
    <t>2010-03-25</t>
  </si>
  <si>
    <t>54736757:eng</t>
  </si>
  <si>
    <t>269528</t>
  </si>
  <si>
    <t>991002128629702656</t>
  </si>
  <si>
    <t>2267488360002656</t>
  </si>
  <si>
    <t>32285000353473</t>
  </si>
  <si>
    <t>893879524</t>
  </si>
  <si>
    <t>BM440.E8 L47 1969</t>
  </si>
  <si>
    <t>0                      BM 0440000E  8                  L  47          1969</t>
  </si>
  <si>
    <t>Falasha anthology; the black Jews of Ethiopia / translated from Ethiopic sources with an introd. by Wolf Leslau.</t>
  </si>
  <si>
    <t>Leslau, Wolf.</t>
  </si>
  <si>
    <t>New York, Schocken Books [1969, c1951]</t>
  </si>
  <si>
    <t>1969</t>
  </si>
  <si>
    <t>Yale Judaica series ; v. 6</t>
  </si>
  <si>
    <t>2003-11-11</t>
  </si>
  <si>
    <t>3943294478:eng</t>
  </si>
  <si>
    <t>26267</t>
  </si>
  <si>
    <t>991000065129702656</t>
  </si>
  <si>
    <t>2265678780002656</t>
  </si>
  <si>
    <t>32285000365295</t>
  </si>
  <si>
    <t>893777651</t>
  </si>
  <si>
    <t>BM45 .B78</t>
  </si>
  <si>
    <t>0                      BM 0045000B  78</t>
  </si>
  <si>
    <t>Israel and the world, essays in a time of crisis.</t>
  </si>
  <si>
    <t>Buber, Martin, 1878-1965.</t>
  </si>
  <si>
    <t>New York, Schocken Books [1948]</t>
  </si>
  <si>
    <t>1948</t>
  </si>
  <si>
    <t>2002-10-09</t>
  </si>
  <si>
    <t>460302:eng</t>
  </si>
  <si>
    <t>377299</t>
  </si>
  <si>
    <t>991002603009702656</t>
  </si>
  <si>
    <t>2260780080002656</t>
  </si>
  <si>
    <t>32285000353499</t>
  </si>
  <si>
    <t>893227057</t>
  </si>
  <si>
    <t>BM45 .B8 1970</t>
  </si>
  <si>
    <t>0                      BM 0045000B  8           1970</t>
  </si>
  <si>
    <t>Mamre : essays in religion / translated by Greta Hort.</t>
  </si>
  <si>
    <t>Westport, Conn., Greenwood Press [1970]</t>
  </si>
  <si>
    <t>1999-04-27</t>
  </si>
  <si>
    <t>1059121184:eng</t>
  </si>
  <si>
    <t>118634</t>
  </si>
  <si>
    <t>991000666859702656</t>
  </si>
  <si>
    <t>2261669580002656</t>
  </si>
  <si>
    <t>9780837125916</t>
  </si>
  <si>
    <t>32285000353507</t>
  </si>
  <si>
    <t>893608164</t>
  </si>
  <si>
    <t>BM45 .K35 1972</t>
  </si>
  <si>
    <t>0                      BM 0045000K  35          1972</t>
  </si>
  <si>
    <t>Judaism at bay; essays toward the adjustment of Judaism to modernity / by Horace M. Kallen.</t>
  </si>
  <si>
    <t>Kallen, Horace Meyer, 1882-1974.</t>
  </si>
  <si>
    <t>New York, Arno Press, 1972 [c1932]</t>
  </si>
  <si>
    <t>Religion in America, series II</t>
  </si>
  <si>
    <t>1997-04-21</t>
  </si>
  <si>
    <t>1383732:eng</t>
  </si>
  <si>
    <t>240658</t>
  </si>
  <si>
    <t>991001906379702656</t>
  </si>
  <si>
    <t>2272151420002656</t>
  </si>
  <si>
    <t>9780405040719</t>
  </si>
  <si>
    <t>32285000353531</t>
  </si>
  <si>
    <t>893244518</t>
  </si>
  <si>
    <t>BM485 .L57 1984 v. 3</t>
  </si>
  <si>
    <t>0                      BM 0485000L  57          1984                                        v. 3</t>
  </si>
  <si>
    <t>The literature of the sages / editor, Shmuel Safrai ; executive editor, Peter J. Tomson.</t>
  </si>
  <si>
    <t>V.3B</t>
  </si>
  <si>
    <t>Assen, Netherlands : Van Gorcum ; Philadelphia : Fortress Press, 1987-2006.</t>
  </si>
  <si>
    <t>Compendia rerum Iudaicarum ad Novum Testamentum. Section 2, Literature of the Jewish people in the period of the Second Temple and the Talmud ; 3</t>
  </si>
  <si>
    <t>2010-02-11</t>
  </si>
  <si>
    <t>5534151576:eng</t>
  </si>
  <si>
    <t>15549071</t>
  </si>
  <si>
    <t>991005359299702656</t>
  </si>
  <si>
    <t>2266691320002656</t>
  </si>
  <si>
    <t>9780800606053</t>
  </si>
  <si>
    <t>32285005573372</t>
  </si>
  <si>
    <t>893783475</t>
  </si>
  <si>
    <t>BM487 .B57</t>
  </si>
  <si>
    <t>0                      BM 0487000B  57</t>
  </si>
  <si>
    <t>The scrolls and Christianity: historical and theological significance / [by] W. F. Albright [and others]; edited, and with an introduction and concluding chapter by Matthew Black.</t>
  </si>
  <si>
    <t>Black, Matthew.</t>
  </si>
  <si>
    <t>London, Society for Promoting Christian Knowledge, 1969.</t>
  </si>
  <si>
    <t>Theological collections ; 11</t>
  </si>
  <si>
    <t>1992-10-26</t>
  </si>
  <si>
    <t>808608651:eng</t>
  </si>
  <si>
    <t>56411</t>
  </si>
  <si>
    <t>991000136209702656</t>
  </si>
  <si>
    <t>2261243770002656</t>
  </si>
  <si>
    <t>9780281022885</t>
  </si>
  <si>
    <t>32285000365436</t>
  </si>
  <si>
    <t>893790271</t>
  </si>
  <si>
    <t>BM487 .B8</t>
  </si>
  <si>
    <t>0                      BM 0487000B  8</t>
  </si>
  <si>
    <t>More light on the Dead Sea Scrolls; new scrolls and new interpretations / by Millar Burrows ; with translations of important recent discoveries.</t>
  </si>
  <si>
    <t>Burrows, Millar, 1889-1980.</t>
  </si>
  <si>
    <t>New York, Viking Press, 1958.</t>
  </si>
  <si>
    <t>2005-02-14</t>
  </si>
  <si>
    <t>1083023806:eng</t>
  </si>
  <si>
    <t>664060</t>
  </si>
  <si>
    <t>991003117949702656</t>
  </si>
  <si>
    <t>2272006910002656</t>
  </si>
  <si>
    <t>32285000365451</t>
  </si>
  <si>
    <t>893535353</t>
  </si>
  <si>
    <t>BM487 .F7 1972</t>
  </si>
  <si>
    <t>0                      BM 0487000F  7           1972</t>
  </si>
  <si>
    <t>The Qumrān community, its history and scrolls / by Charles T. Fritsch. With a new introd. by the author.</t>
  </si>
  <si>
    <t>Fritsch, Charles T. (Charles Theodore), 1912-1989.</t>
  </si>
  <si>
    <t>New York, Biblo and Tannen, 1972 [c1956]</t>
  </si>
  <si>
    <t>1992-09-05</t>
  </si>
  <si>
    <t>484434:eng</t>
  </si>
  <si>
    <t>402365</t>
  </si>
  <si>
    <t>991002693319702656</t>
  </si>
  <si>
    <t>2265493070002656</t>
  </si>
  <si>
    <t>9780819602794</t>
  </si>
  <si>
    <t>32285000365501</t>
  </si>
  <si>
    <t>893511066</t>
  </si>
  <si>
    <t>BM487 .F85 1986</t>
  </si>
  <si>
    <t>0                      BM 0487000F  85          1986</t>
  </si>
  <si>
    <t>A crack in the jar : what ancient Jewish documents tell us about the New Testament / by Neil S. Fujita.</t>
  </si>
  <si>
    <t>Fujita, Neil S.</t>
  </si>
  <si>
    <t>New York : Paulist Press, c1986.</t>
  </si>
  <si>
    <t>1997-03-04</t>
  </si>
  <si>
    <t>7158304:eng</t>
  </si>
  <si>
    <t>13369469</t>
  </si>
  <si>
    <t>991000819059702656</t>
  </si>
  <si>
    <t>2265412460002656</t>
  </si>
  <si>
    <t>9780809127450</t>
  </si>
  <si>
    <t>32285000365527</t>
  </si>
  <si>
    <t>893502842</t>
  </si>
  <si>
    <t>BM487 .G7</t>
  </si>
  <si>
    <t>0                      BM 0487000G  7</t>
  </si>
  <si>
    <t>The Dead Sea scrolls and the originality of Christ / by Geoffrey Graystone.</t>
  </si>
  <si>
    <t>Graystone, Geoffrey, 1922-</t>
  </si>
  <si>
    <t>New York, Sheed and Ward [1956]</t>
  </si>
  <si>
    <t>1956</t>
  </si>
  <si>
    <t>2009-06-02</t>
  </si>
  <si>
    <t>6181382:eng</t>
  </si>
  <si>
    <t>2738385</t>
  </si>
  <si>
    <t>991004228489702656</t>
  </si>
  <si>
    <t>2259020140002656</t>
  </si>
  <si>
    <t>32285000365543</t>
  </si>
  <si>
    <t>893612102</t>
  </si>
  <si>
    <t>BM487 .L36</t>
  </si>
  <si>
    <t>0                      BM 0487000L  36</t>
  </si>
  <si>
    <t>Amazing Dead Sea Scrolls and the Christian faith / by William Sanford LaSor.</t>
  </si>
  <si>
    <t>La Sor, William Sanford.</t>
  </si>
  <si>
    <t>Chicago, Moody Press [c1956]</t>
  </si>
  <si>
    <t>1996-04-17</t>
  </si>
  <si>
    <t>1990-02-02</t>
  </si>
  <si>
    <t>2784965:eng</t>
  </si>
  <si>
    <t>3061742</t>
  </si>
  <si>
    <t>991004331449702656</t>
  </si>
  <si>
    <t>2272712380002656</t>
  </si>
  <si>
    <t>32285000031962</t>
  </si>
  <si>
    <t>893429931</t>
  </si>
  <si>
    <t>BM487 .M27</t>
  </si>
  <si>
    <t>0                      BM 0487000M  27</t>
  </si>
  <si>
    <t>The Dead Sea scrolls; a college textbook and a study guide / Menahem Mansoor.</t>
  </si>
  <si>
    <t>Mansoor, Menahem.</t>
  </si>
  <si>
    <t>Grand Rapids, Eerdmans, c1964, 1967 printing.</t>
  </si>
  <si>
    <t>miu</t>
  </si>
  <si>
    <t>6182046:eng</t>
  </si>
  <si>
    <t>2738428</t>
  </si>
  <si>
    <t>991004228579702656</t>
  </si>
  <si>
    <t>2259154500002656</t>
  </si>
  <si>
    <t>32285000365584</t>
  </si>
  <si>
    <t>893318956</t>
  </si>
  <si>
    <t>BM487 .M8</t>
  </si>
  <si>
    <t>0                      BM 0487000M  8</t>
  </si>
  <si>
    <t>The Dead Sea scrolls and the Bible / by Roland E. Murphy.</t>
  </si>
  <si>
    <t>Murphy, Roland E. (Roland Edmund), 1917-2002.</t>
  </si>
  <si>
    <t>Westminster, Md., Newman Press, 1956.</t>
  </si>
  <si>
    <t>1997-12-01</t>
  </si>
  <si>
    <t>1990-11-26</t>
  </si>
  <si>
    <t>3943674882:eng</t>
  </si>
  <si>
    <t>664179</t>
  </si>
  <si>
    <t>991003118159702656</t>
  </si>
  <si>
    <t>2272113700002656</t>
  </si>
  <si>
    <t>32285000400894</t>
  </si>
  <si>
    <t>893717338</t>
  </si>
  <si>
    <t>BM487 .S8 1975</t>
  </si>
  <si>
    <t>0                      BM 0487000S  8           1975</t>
  </si>
  <si>
    <t>The scrolls and the New Testament / edited by Krister Stendahl.</t>
  </si>
  <si>
    <t>Stendahl, Krister editor.</t>
  </si>
  <si>
    <t>Westport, Conn. : Greenwood Press, 1975, c1957.</t>
  </si>
  <si>
    <t>54554460:eng</t>
  </si>
  <si>
    <t>1364689</t>
  </si>
  <si>
    <t>991003718759702656</t>
  </si>
  <si>
    <t>2256972720002656</t>
  </si>
  <si>
    <t>9780837171715</t>
  </si>
  <si>
    <t>32285000031988</t>
  </si>
  <si>
    <t>893900274</t>
  </si>
  <si>
    <t>BM487 .V43</t>
  </si>
  <si>
    <t>0                      BM 0487000V  43</t>
  </si>
  <si>
    <t>Discovery in the Judean desert / Geza Vermes.</t>
  </si>
  <si>
    <t>Vermès, Géza, 1924-2013.</t>
  </si>
  <si>
    <t>New York, Desclee, Co., 1956.</t>
  </si>
  <si>
    <t>351141169:eng</t>
  </si>
  <si>
    <t>1113998</t>
  </si>
  <si>
    <t>991003547229702656</t>
  </si>
  <si>
    <t>2272472270002656</t>
  </si>
  <si>
    <t>32285000365667</t>
  </si>
  <si>
    <t>893342679</t>
  </si>
  <si>
    <t>BM487 .W23 1966</t>
  </si>
  <si>
    <t>0                      BM 0487000W  23          1966</t>
  </si>
  <si>
    <t>A comparative study of the Old Testament text in the Dead Sea scrolls and in the New Testament / by Jan de Waard.</t>
  </si>
  <si>
    <t>Waard, Jan de.</t>
  </si>
  <si>
    <t>[s.l.] Eerdman, 1966.</t>
  </si>
  <si>
    <t>Studies on the texts of the desert of Judah ; 4</t>
  </si>
  <si>
    <t>1998-12-07</t>
  </si>
  <si>
    <t>1417171:eng</t>
  </si>
  <si>
    <t>2585743</t>
  </si>
  <si>
    <t>991004172439702656</t>
  </si>
  <si>
    <t>2264254530002656</t>
  </si>
  <si>
    <t>32285000365675</t>
  </si>
  <si>
    <t>893532067</t>
  </si>
  <si>
    <t>BM487 .Y3</t>
  </si>
  <si>
    <t>0                      BM 0487000Y  3</t>
  </si>
  <si>
    <t>The message of the scrolls / Yigael Yadin.</t>
  </si>
  <si>
    <t>Yadin, Yigael, 1917-1984.</t>
  </si>
  <si>
    <t>New York, Simon and Schuster 1957.</t>
  </si>
  <si>
    <t>2003-10-06</t>
  </si>
  <si>
    <t>1702644:eng</t>
  </si>
  <si>
    <t>720948</t>
  </si>
  <si>
    <t>991003195659702656</t>
  </si>
  <si>
    <t>2256355260002656</t>
  </si>
  <si>
    <t>32285000365691</t>
  </si>
  <si>
    <t>893893463</t>
  </si>
  <si>
    <t>BM487.B79 S4 1961</t>
  </si>
  <si>
    <t>0                      BM 0487000B  79                 S  4           1961</t>
  </si>
  <si>
    <t>Second thoughts on the Dead Sea Scrolls / by F.F. Bruce.</t>
  </si>
  <si>
    <t>Bruce, F. F. (Frederick Fyvie), 1910-1990.</t>
  </si>
  <si>
    <t>Grand Rapids, Eerdmans [c1961]</t>
  </si>
  <si>
    <t>[2d ed.]</t>
  </si>
  <si>
    <t>2005-02-13</t>
  </si>
  <si>
    <t>119421066:eng</t>
  </si>
  <si>
    <t>5180254</t>
  </si>
  <si>
    <t>991004794869702656</t>
  </si>
  <si>
    <t>2272104480002656</t>
  </si>
  <si>
    <t>32285000365444</t>
  </si>
  <si>
    <t>893430504</t>
  </si>
  <si>
    <t>BM488.S47 A1 1985</t>
  </si>
  <si>
    <t>0                      BM 0488000S  47                 A  1           1985</t>
  </si>
  <si>
    <t>Songs of the Sabbath sacrifice : a critical edition / Carol Newsom.</t>
  </si>
  <si>
    <t>Serekh shirot olat ha-Shabbat.</t>
  </si>
  <si>
    <t>Atlanta, Ga. : Scholars Press, c1985.</t>
  </si>
  <si>
    <t>Harvard Semitic studies ; v. 27</t>
  </si>
  <si>
    <t>2002-09-04</t>
  </si>
  <si>
    <t>1990-10-30</t>
  </si>
  <si>
    <t>796739800:eng</t>
  </si>
  <si>
    <t>12371306</t>
  </si>
  <si>
    <t>991000678799702656</t>
  </si>
  <si>
    <t>2258348930002656</t>
  </si>
  <si>
    <t>9780891309185</t>
  </si>
  <si>
    <t>32285000365816</t>
  </si>
  <si>
    <t>893865579</t>
  </si>
  <si>
    <t>BM488.T44 T46 1989</t>
  </si>
  <si>
    <t>0                      BM 0488000T  44                 T  46          1989</t>
  </si>
  <si>
    <t>Temple scroll studies : papers presented at the International Symposium on the Temple Scroll, Manchester, December 1987 / edited by George J. Brooke.</t>
  </si>
  <si>
    <t>Sheffield, Eng. : JSOT Press, c1989.</t>
  </si>
  <si>
    <t>1989</t>
  </si>
  <si>
    <t>Journal for the study of the Pseudepigrapha. Supplement series ; 7</t>
  </si>
  <si>
    <t>1997-09-09</t>
  </si>
  <si>
    <t>1991-06-20</t>
  </si>
  <si>
    <t>352274960:eng</t>
  </si>
  <si>
    <t>21146172</t>
  </si>
  <si>
    <t>991001656639702656</t>
  </si>
  <si>
    <t>2268648120002656</t>
  </si>
  <si>
    <t>9781850752004</t>
  </si>
  <si>
    <t>32285000658095</t>
  </si>
  <si>
    <t>893340580</t>
  </si>
  <si>
    <t>BM488.T5 K57 1981</t>
  </si>
  <si>
    <t>0                      BM 0488000T  5                  K  57          1981</t>
  </si>
  <si>
    <t>The hymns of Qumran : translation and commentary / Bonnie Pedrotti Kittel.</t>
  </si>
  <si>
    <t>Kittel, Bonnie Pedrotti.</t>
  </si>
  <si>
    <t>Chico, Calif. : Scholars Press, c1981.</t>
  </si>
  <si>
    <t>1981</t>
  </si>
  <si>
    <t>Dissertation series (Society of Biblical Literature), 0145-269X ; no. 50</t>
  </si>
  <si>
    <t>2007-09-06</t>
  </si>
  <si>
    <t>815032994:eng</t>
  </si>
  <si>
    <t>6085511</t>
  </si>
  <si>
    <t>991004925219702656</t>
  </si>
  <si>
    <t>2260976980002656</t>
  </si>
  <si>
    <t>9780891303961</t>
  </si>
  <si>
    <t>32285000365857</t>
  </si>
  <si>
    <t>893507373</t>
  </si>
  <si>
    <t>BM496.5 .L5</t>
  </si>
  <si>
    <t>0                      BM 0496500L  5</t>
  </si>
  <si>
    <t>Texts and studies / by Saul Lieberman.</t>
  </si>
  <si>
    <t>Lieberman, Saul, 1898-1983.</t>
  </si>
  <si>
    <t>New York : Ktav Pub. House, 1974.</t>
  </si>
  <si>
    <t>2008-11-17</t>
  </si>
  <si>
    <t>1723812:eng</t>
  </si>
  <si>
    <t>827686</t>
  </si>
  <si>
    <t>991003304359702656</t>
  </si>
  <si>
    <t>2270696370002656</t>
  </si>
  <si>
    <t>9780870682100</t>
  </si>
  <si>
    <t>32285000365931</t>
  </si>
  <si>
    <t>893330187</t>
  </si>
  <si>
    <t>BM496.5 .P47</t>
  </si>
  <si>
    <t>0                      BM 0496500P  47</t>
  </si>
  <si>
    <t>Persons and institutions in early rabbinic Judaism / edited by William Scott Green.</t>
  </si>
  <si>
    <t>Missoula, Mont. : Published by Scholars Press for Brown University, c1977.</t>
  </si>
  <si>
    <t>mtu</t>
  </si>
  <si>
    <t>Brown Judaic studies ; no. 3</t>
  </si>
  <si>
    <t>2008-01-17</t>
  </si>
  <si>
    <t>649102:eng</t>
  </si>
  <si>
    <t>2680984</t>
  </si>
  <si>
    <t>991004210469702656</t>
  </si>
  <si>
    <t>2265880400002656</t>
  </si>
  <si>
    <t>9780891301318</t>
  </si>
  <si>
    <t>32285000365949</t>
  </si>
  <si>
    <t>893718631</t>
  </si>
  <si>
    <t>BM496.9.M87 C47 1982</t>
  </si>
  <si>
    <t>0                      BM 0496900M  87                 C  47          1982</t>
  </si>
  <si>
    <t>Mysticism in rabbinic Judaism : studies in the history of midrash / Ira Chernus.</t>
  </si>
  <si>
    <t>Chernus, Ira, 1946-</t>
  </si>
  <si>
    <t>Berlin ; New York : W. de Gruyter, 1982.</t>
  </si>
  <si>
    <t xml:space="preserve">gw </t>
  </si>
  <si>
    <t>Studia Judaica ; Bd. 11</t>
  </si>
  <si>
    <t>2003-12-08</t>
  </si>
  <si>
    <t>865286377:eng</t>
  </si>
  <si>
    <t>8688758</t>
  </si>
  <si>
    <t>991000051649702656</t>
  </si>
  <si>
    <t>2272426680002656</t>
  </si>
  <si>
    <t>9783110085891</t>
  </si>
  <si>
    <t>32285000365956</t>
  </si>
  <si>
    <t>893796359</t>
  </si>
  <si>
    <t>BM498.8 .N48 1983</t>
  </si>
  <si>
    <t>0                      BM 0498800N  48          1983</t>
  </si>
  <si>
    <t>Judaism in society : the evidence of the Yerushalmi : toward the natural history of a religion / Jacob Neusner.</t>
  </si>
  <si>
    <t>Chicago : University of Chicago Press c1983.</t>
  </si>
  <si>
    <t>1983</t>
  </si>
  <si>
    <t>2000-09-08</t>
  </si>
  <si>
    <t>15310968:eng</t>
  </si>
  <si>
    <t>9575821</t>
  </si>
  <si>
    <t>991000219929702656</t>
  </si>
  <si>
    <t>2267075940002656</t>
  </si>
  <si>
    <t>9780226576169</t>
  </si>
  <si>
    <t>32285000366194</t>
  </si>
  <si>
    <t>893796520</t>
  </si>
  <si>
    <t>BM50 .A8 1964</t>
  </si>
  <si>
    <t>0                      BM 0050000A  8           1964</t>
  </si>
  <si>
    <t>The book of Jewish knowledge : an encyclopedia of Judaism and the Jewish people, covering all elements of Jewish life from Biblical times to the present / by Nathan Ausubel.</t>
  </si>
  <si>
    <t>Ausubel, Nathan, 1898-1986.</t>
  </si>
  <si>
    <t>New York : Crown Publishers, [1964]</t>
  </si>
  <si>
    <t>2008-06-10</t>
  </si>
  <si>
    <t>198735298:eng</t>
  </si>
  <si>
    <t>1320713</t>
  </si>
  <si>
    <t>991005233689702656</t>
  </si>
  <si>
    <t>2256866180002656</t>
  </si>
  <si>
    <t>32285005444723</t>
  </si>
  <si>
    <t>893320294</t>
  </si>
  <si>
    <t>BM501 .N48</t>
  </si>
  <si>
    <t>0                      BM 0501000N  48</t>
  </si>
  <si>
    <t>The formation of the Babylonian Talmud; studies in the achievements of late nineteenth and twentieth century historical and literary-critical research / ed. by Jacob Neusner.</t>
  </si>
  <si>
    <t>Leiden, Brill, 1970.</t>
  </si>
  <si>
    <t>Studia post-Biblica ; v. 17</t>
  </si>
  <si>
    <t>887990580:eng</t>
  </si>
  <si>
    <t>130701</t>
  </si>
  <si>
    <t>991000758869702656</t>
  </si>
  <si>
    <t>2254860030002656</t>
  </si>
  <si>
    <t>32285000366442</t>
  </si>
  <si>
    <t>893327560</t>
  </si>
  <si>
    <t>BM501.15 .N4</t>
  </si>
  <si>
    <t>0                      BM 0501150N  4</t>
  </si>
  <si>
    <t>History and Torah; essays on Jewish learning / Jacob Neusner.</t>
  </si>
  <si>
    <t>New York, Schocken Books [1965]</t>
  </si>
  <si>
    <t>1965</t>
  </si>
  <si>
    <t>2000-06-15</t>
  </si>
  <si>
    <t>366489518:eng</t>
  </si>
  <si>
    <t>982708</t>
  </si>
  <si>
    <t>991003447119702656</t>
  </si>
  <si>
    <t>2271992950002656</t>
  </si>
  <si>
    <t>32285000366459</t>
  </si>
  <si>
    <t>893505575</t>
  </si>
  <si>
    <t>BM501.2 .G85 1970</t>
  </si>
  <si>
    <t>0                      BM 0501200G  85          1970</t>
  </si>
  <si>
    <t>Rabbinic Judaism in the making; a chapter in the history of the Halakhah from Ezra to Judah I / by Alexander Guttmann.</t>
  </si>
  <si>
    <t>Guttmann, Alexander.</t>
  </si>
  <si>
    <t>Detroit : Wayne State University Press, 1970.</t>
  </si>
  <si>
    <t>287440890:eng</t>
  </si>
  <si>
    <t>128366</t>
  </si>
  <si>
    <t>991000729979702656</t>
  </si>
  <si>
    <t>2261689980002656</t>
  </si>
  <si>
    <t>9780814313824</t>
  </si>
  <si>
    <t>32285000366467</t>
  </si>
  <si>
    <t>893696105</t>
  </si>
  <si>
    <t>BM501.2 .S3 1985</t>
  </si>
  <si>
    <t>0                      BM 0501200S  3           1985</t>
  </si>
  <si>
    <t>Who was a Jew? : rabbinic and Halakhic perspectives on the Jewish Christian schism / by Lawrence H. Schiffman.</t>
  </si>
  <si>
    <t>Schiffman, Lawrence H.</t>
  </si>
  <si>
    <t>Hoboken, N.J. : Ktav Pub. House, 1985.</t>
  </si>
  <si>
    <t>2001-07-14</t>
  </si>
  <si>
    <t>1990-02-28</t>
  </si>
  <si>
    <t>836948368:eng</t>
  </si>
  <si>
    <t>11068913</t>
  </si>
  <si>
    <t>991000485059702656</t>
  </si>
  <si>
    <t>2261504600002656</t>
  </si>
  <si>
    <t>9780881250534</t>
  </si>
  <si>
    <t>32285000072743</t>
  </si>
  <si>
    <t>893314974</t>
  </si>
  <si>
    <t>BM501.3 .L4813 1989</t>
  </si>
  <si>
    <t>0                      BM 0501300L  4813        1989</t>
  </si>
  <si>
    <t>The rabbinic class of Roman Palestine in late antiquity / Lee I. Levine.</t>
  </si>
  <si>
    <t>Levine, Lee I.</t>
  </si>
  <si>
    <t>Jerusalem : Yad Izhak Ben-Zvi ; New York : Jewish Theological Seminary of America, c1989.</t>
  </si>
  <si>
    <t>2010-10-01</t>
  </si>
  <si>
    <t>1993-03-04</t>
  </si>
  <si>
    <t>44157129:eng</t>
  </si>
  <si>
    <t>21586355</t>
  </si>
  <si>
    <t>991001707839702656</t>
  </si>
  <si>
    <t>2257173160002656</t>
  </si>
  <si>
    <t>9789652170644</t>
  </si>
  <si>
    <t>32285001497097</t>
  </si>
  <si>
    <t>893322181</t>
  </si>
  <si>
    <t>BM503.5 .M5 1969</t>
  </si>
  <si>
    <t>0                      BM 0503500M  5           1969</t>
  </si>
  <si>
    <t>Introduction to the Talmud / Moses Mielziner.</t>
  </si>
  <si>
    <t>Mielziner, M. (Moses), 1828-1903.</t>
  </si>
  <si>
    <t>New York, Bloch Pub. Co. [1969]</t>
  </si>
  <si>
    <t>[4th ed.]</t>
  </si>
  <si>
    <t>1997-02-27</t>
  </si>
  <si>
    <t>641763:eng</t>
  </si>
  <si>
    <t>76741</t>
  </si>
  <si>
    <t>991000446769702656</t>
  </si>
  <si>
    <t>2257209830002656</t>
  </si>
  <si>
    <t>32285000366574</t>
  </si>
  <si>
    <t>893890683</t>
  </si>
  <si>
    <t>BM503.5 .S73 1969</t>
  </si>
  <si>
    <t>0                      BM 0503500S  73          1969</t>
  </si>
  <si>
    <t>Introduction to the Talmud and Midrash / Hermann L. Strack.</t>
  </si>
  <si>
    <t>Strack, Hermann Leberecht, 1848-1922.</t>
  </si>
  <si>
    <t>New York, Atheneum, 1969 [c1931]</t>
  </si>
  <si>
    <t>Temple book</t>
  </si>
  <si>
    <t>2003-05-05</t>
  </si>
  <si>
    <t>1348672:eng</t>
  </si>
  <si>
    <t>5199809</t>
  </si>
  <si>
    <t>991002877719702656</t>
  </si>
  <si>
    <t>2261977510002656</t>
  </si>
  <si>
    <t>32285000366590</t>
  </si>
  <si>
    <t>893239619</t>
  </si>
  <si>
    <t>BM503.5 .S8</t>
  </si>
  <si>
    <t>0                      BM 0503500S  8</t>
  </si>
  <si>
    <t>The essential Talmud / Adin Steinsaltz ; translated from the Hebrew by Chaya Galai.</t>
  </si>
  <si>
    <t>Steinsaltz, Adin.</t>
  </si>
  <si>
    <t>New York : Basic Books, c1976.</t>
  </si>
  <si>
    <t>2742931:eng</t>
  </si>
  <si>
    <t>1975959</t>
  </si>
  <si>
    <t>991003962279702656</t>
  </si>
  <si>
    <t>2266742720002656</t>
  </si>
  <si>
    <t>9780465020607</t>
  </si>
  <si>
    <t>32285000366608</t>
  </si>
  <si>
    <t>893618045</t>
  </si>
  <si>
    <t>BM504 .C6 1949</t>
  </si>
  <si>
    <t>0                      BM 0504000C  6           1949</t>
  </si>
  <si>
    <t>Everyman's Talmud / by A. Cohen ; with an introd. to the new American ed. by Boaz Cohen.</t>
  </si>
  <si>
    <t>Cohen, A. (Abraham), 1887-1957.</t>
  </si>
  <si>
    <t>New York : E.P. Dutton, 1949.</t>
  </si>
  <si>
    <t>1949</t>
  </si>
  <si>
    <t>2008-12-15</t>
  </si>
  <si>
    <t>2005-02-22</t>
  </si>
  <si>
    <t>1472361:eng</t>
  </si>
  <si>
    <t>565407</t>
  </si>
  <si>
    <t>991004481389702656</t>
  </si>
  <si>
    <t>2258900490002656</t>
  </si>
  <si>
    <t>32285005026892</t>
  </si>
  <si>
    <t>893350059</t>
  </si>
  <si>
    <t>BM509.E27 A23 1994</t>
  </si>
  <si>
    <t>0                      BM 0509000E  27                 A  23          1994</t>
  </si>
  <si>
    <t>Labor, crafts, and commerce in ancient Israel / Moshe Aberbach.</t>
  </si>
  <si>
    <t>Aberbach, Moses.</t>
  </si>
  <si>
    <t>Jerusalem : Magnes Press, Hebrew University, c1994.</t>
  </si>
  <si>
    <t>2001-03-19</t>
  </si>
  <si>
    <t>1996-11-26</t>
  </si>
  <si>
    <t>4461267005:eng</t>
  </si>
  <si>
    <t>30881044</t>
  </si>
  <si>
    <t>991002372879702656</t>
  </si>
  <si>
    <t>2269915840002656</t>
  </si>
  <si>
    <t>9789652238603</t>
  </si>
  <si>
    <t>32285002386315</t>
  </si>
  <si>
    <t>893773533</t>
  </si>
  <si>
    <t>BM51 .A65</t>
  </si>
  <si>
    <t>0                      BM 0051000A  65</t>
  </si>
  <si>
    <t>What everyone should know about Judaism; answers to the questions most frequently asked about Judaism / foreword by John Haynes Holmes.</t>
  </si>
  <si>
    <t>Applebaum, Morton M.</t>
  </si>
  <si>
    <t>New York, Philosophical Library [1959]</t>
  </si>
  <si>
    <t>1959</t>
  </si>
  <si>
    <t>1990-03-01</t>
  </si>
  <si>
    <t>2026474:eng</t>
  </si>
  <si>
    <t>3963807</t>
  </si>
  <si>
    <t>991004554829702656</t>
  </si>
  <si>
    <t>2264315330002656</t>
  </si>
  <si>
    <t>32285000073592</t>
  </si>
  <si>
    <t>893876246</t>
  </si>
  <si>
    <t>BM514 .N47 1989</t>
  </si>
  <si>
    <t>0                      BM 0514000N  47          1989</t>
  </si>
  <si>
    <t>Invitation to Midrash : the workings of Rabbinic Bible interpretation : a teaching book / Jacob Neusner.</t>
  </si>
  <si>
    <t>San Francisco : Harper &amp; Row, c1989.</t>
  </si>
  <si>
    <t>2003-07-31</t>
  </si>
  <si>
    <t>1990-01-15</t>
  </si>
  <si>
    <t>19046501:eng</t>
  </si>
  <si>
    <t>18741083</t>
  </si>
  <si>
    <t>991001388499702656</t>
  </si>
  <si>
    <t>2256281800002656</t>
  </si>
  <si>
    <t>9780060661076</t>
  </si>
  <si>
    <t>32285000028224</t>
  </si>
  <si>
    <t>893509594</t>
  </si>
  <si>
    <t>BM517.M65 N478 1987</t>
  </si>
  <si>
    <t>0                      BM 0517000M  65                 N  478         1987</t>
  </si>
  <si>
    <t>Christian faith and the Bible of Judaism : the Judaic encounter with Scripture / Jacob Neusner.</t>
  </si>
  <si>
    <t>Grand Rapids, Mich. : W.B. Eerdmans Pub. Co., c1987.</t>
  </si>
  <si>
    <t>1990-11-01</t>
  </si>
  <si>
    <t>889905130:eng</t>
  </si>
  <si>
    <t>16352116</t>
  </si>
  <si>
    <t>991001100219702656</t>
  </si>
  <si>
    <t>2270112950002656</t>
  </si>
  <si>
    <t>9780802802781</t>
  </si>
  <si>
    <t>32285000367150</t>
  </si>
  <si>
    <t>893696459</t>
  </si>
  <si>
    <t>BM517.M65 N48 1986</t>
  </si>
  <si>
    <t>0                      BM 0517000M  65                 N  48          1986</t>
  </si>
  <si>
    <t>Comparative midrash : the plan and program of Genesis rabbah and Leviticus rabbah / by Jacob Neusner.</t>
  </si>
  <si>
    <t>Atlanta, Ga. : Scholars Press, c1986.</t>
  </si>
  <si>
    <t>Brown Judaic studies ; no. 111</t>
  </si>
  <si>
    <t>5775677:eng</t>
  </si>
  <si>
    <t>12840140</t>
  </si>
  <si>
    <t>991000745769702656</t>
  </si>
  <si>
    <t>2267136740002656</t>
  </si>
  <si>
    <t>9780891309581</t>
  </si>
  <si>
    <t>32285000367168</t>
  </si>
  <si>
    <t>893589706</t>
  </si>
  <si>
    <t>BM517.P34 E54</t>
  </si>
  <si>
    <t>0                      BM 0517000P  34                 E  54</t>
  </si>
  <si>
    <t>Pĕsiḳta dĕ-Rab Kahăna / R. Kahana's compilation of discourses for Sabbaths and festal days ; translated from Hebrew and Aramaic by William G. (Gershon Zev) Braude and Israel J. Kapstein.</t>
  </si>
  <si>
    <t>Pesikta de-Rav Kahana. English.</t>
  </si>
  <si>
    <t>London : Routledge &amp; K. Paul, 1975.</t>
  </si>
  <si>
    <t xml:space="preserve">en </t>
  </si>
  <si>
    <t>2005-03-22</t>
  </si>
  <si>
    <t>8910674684:eng</t>
  </si>
  <si>
    <t>2363077</t>
  </si>
  <si>
    <t>991004097519702656</t>
  </si>
  <si>
    <t>2264984340002656</t>
  </si>
  <si>
    <t>32285000367184</t>
  </si>
  <si>
    <t>893627980</t>
  </si>
  <si>
    <t>BM517.S75 A3 1986</t>
  </si>
  <si>
    <t>0                      BM 0517000S  75                 A  3           1986</t>
  </si>
  <si>
    <t>Sifre : a Tannaitic commentary on the book of Deuteronomy / translated from the Hebrew with introduction and notes by Reuven Hammer.</t>
  </si>
  <si>
    <t>Sifrei. Deuteronomy. English.</t>
  </si>
  <si>
    <t>New Haven : Yale University Press, 1986.</t>
  </si>
  <si>
    <t>Yale Judaica series ; v. 24</t>
  </si>
  <si>
    <t>2003-10-02</t>
  </si>
  <si>
    <t>1151255550:eng</t>
  </si>
  <si>
    <t>12977365</t>
  </si>
  <si>
    <t>991000763799702656</t>
  </si>
  <si>
    <t>2261366060002656</t>
  </si>
  <si>
    <t>9780300033458</t>
  </si>
  <si>
    <t>32285000367374</t>
  </si>
  <si>
    <t>893771944</t>
  </si>
  <si>
    <t>BM518.I8 S653 1969</t>
  </si>
  <si>
    <t>0                      BM 0518000I  8                  S  653         1969</t>
  </si>
  <si>
    <t>The last trial : on the legends and lore of the command to Abraham to offer Isaac as a sacrifice, The akedah / by Shalom Spiegel ; translated from the Hebrew, with an introd., by Judah Goldin.</t>
  </si>
  <si>
    <t>Spiegel, Shalom, 1899-1984.</t>
  </si>
  <si>
    <t>New York : Schocken Books, [1969, c1967]</t>
  </si>
  <si>
    <t>1st Schocken paperback ed.</t>
  </si>
  <si>
    <t>2009-04-30</t>
  </si>
  <si>
    <t>497770622:eng</t>
  </si>
  <si>
    <t>193340</t>
  </si>
  <si>
    <t>991001213709702656</t>
  </si>
  <si>
    <t>2270837770002656</t>
  </si>
  <si>
    <t>32285000367416</t>
  </si>
  <si>
    <t>893690435</t>
  </si>
  <si>
    <t>BM518.P3 M33 1990</t>
  </si>
  <si>
    <t>0                      BM 0518000P  3                  M  33          1990</t>
  </si>
  <si>
    <t>They also taught in parables : rabbinic parables from the first centuries of the Christian era / Harvey K. McArthur &amp; Robert M. Johnston.</t>
  </si>
  <si>
    <t>McArthur, Harvey K.</t>
  </si>
  <si>
    <t>Grand Rapids, Mich. : Academie Books, c1990.</t>
  </si>
  <si>
    <t>1990</t>
  </si>
  <si>
    <t>2009-01-28</t>
  </si>
  <si>
    <t>1994-01-14</t>
  </si>
  <si>
    <t>22201096:eng</t>
  </si>
  <si>
    <t>20564000</t>
  </si>
  <si>
    <t>991001589579702656</t>
  </si>
  <si>
    <t>2261499870002656</t>
  </si>
  <si>
    <t>9780310515814</t>
  </si>
  <si>
    <t>32285001832095</t>
  </si>
  <si>
    <t>893250314</t>
  </si>
  <si>
    <t>BM520 .D38 1981</t>
  </si>
  <si>
    <t>0                      BM 0520000D  38          1981</t>
  </si>
  <si>
    <t>Ancient Jewish law : three inaugural lectures / by David Daube.</t>
  </si>
  <si>
    <t>Daube, David.</t>
  </si>
  <si>
    <t>Leiden : E.J. Brill, 1981.</t>
  </si>
  <si>
    <t>2002-02-18</t>
  </si>
  <si>
    <t>286055896:eng</t>
  </si>
  <si>
    <t>8650863</t>
  </si>
  <si>
    <t>991000040729702656</t>
  </si>
  <si>
    <t>2272462660002656</t>
  </si>
  <si>
    <t>9789004065314</t>
  </si>
  <si>
    <t>32285000367424</t>
  </si>
  <si>
    <t>893242921</t>
  </si>
  <si>
    <t>BM520.5 .F3313</t>
  </si>
  <si>
    <t>0                      BM 0520500F  3313</t>
  </si>
  <si>
    <t>Introduction to Jewish law of the Second Commonwealth / by Zeʹev W. Falk.</t>
  </si>
  <si>
    <t>Falk, Zeʹev W. (Zeʹev Wilhelm), 1923-1999.</t>
  </si>
  <si>
    <t>Leiden, E. J. Brill, 1972-1978.</t>
  </si>
  <si>
    <t>Arbeiten zur Geschichte des antiken Judentums und des Urchristentums ; Bd. 11</t>
  </si>
  <si>
    <t>9622349586:eng</t>
  </si>
  <si>
    <t>635108</t>
  </si>
  <si>
    <t>991003083429702656</t>
  </si>
  <si>
    <t>2255926960002656</t>
  </si>
  <si>
    <t>9789004035379</t>
  </si>
  <si>
    <t>32285000367432</t>
  </si>
  <si>
    <t>893627448</t>
  </si>
  <si>
    <t>BM520.6 .J33 1984</t>
  </si>
  <si>
    <t>0                      BM 0520600J  33          1984</t>
  </si>
  <si>
    <t>A tree of life : diversity, flexibility, and creativity in Jewish law / Louis Jacobs.</t>
  </si>
  <si>
    <t>Jacobs, Louis.</t>
  </si>
  <si>
    <t>Oxford [Oxfordshire] ; New York : Published for the Littman Library by Oxford University Press, 1984.</t>
  </si>
  <si>
    <t>Littman library of Jewish civilization</t>
  </si>
  <si>
    <t>836668707:eng</t>
  </si>
  <si>
    <t>10850462</t>
  </si>
  <si>
    <t>991005232769702656</t>
  </si>
  <si>
    <t>2270834730002656</t>
  </si>
  <si>
    <t>9780197100394</t>
  </si>
  <si>
    <t>32285005444228</t>
  </si>
  <si>
    <t>893230410</t>
  </si>
  <si>
    <t>BM520.7 .C48 1974</t>
  </si>
  <si>
    <t>0                      BM 0520700C  48          1974</t>
  </si>
  <si>
    <t>The Mitzvot : the commandments and their rationale / by Abraham Chill.</t>
  </si>
  <si>
    <t>Chill, Abraham.</t>
  </si>
  <si>
    <t>New York : Bloch Pub. co., c1974.</t>
  </si>
  <si>
    <t xml:space="preserve">ny </t>
  </si>
  <si>
    <t>2000-11-19</t>
  </si>
  <si>
    <t>484469:eng</t>
  </si>
  <si>
    <t>1438634</t>
  </si>
  <si>
    <t>991004049419702656</t>
  </si>
  <si>
    <t>2260760970002656</t>
  </si>
  <si>
    <t>9780819703767</t>
  </si>
  <si>
    <t>32285000367457</t>
  </si>
  <si>
    <t>893228867</t>
  </si>
  <si>
    <t>BM520.75 .B76 1990</t>
  </si>
  <si>
    <t>0                      BM 0520750B  76          1990</t>
  </si>
  <si>
    <t>The spirit of the Ten Commandments : shattering the myth of rabbinic legalism / Roger Brooks.</t>
  </si>
  <si>
    <t>Brooks, Roger.</t>
  </si>
  <si>
    <t>San Francisco : Harper &amp; Row, c1990.</t>
  </si>
  <si>
    <t>1st ed.</t>
  </si>
  <si>
    <t>1999-07-20</t>
  </si>
  <si>
    <t>1991-03-14</t>
  </si>
  <si>
    <t>367195127:eng</t>
  </si>
  <si>
    <t>20799612</t>
  </si>
  <si>
    <t>991001617929702656</t>
  </si>
  <si>
    <t>2263756870002656</t>
  </si>
  <si>
    <t>9780060611323</t>
  </si>
  <si>
    <t>32285000511930</t>
  </si>
  <si>
    <t>893534607</t>
  </si>
  <si>
    <t>BM520.75 .G6 1963</t>
  </si>
  <si>
    <t>0                      BM 0520750G  6           1963</t>
  </si>
  <si>
    <t>The Ten commandments / by Solomon Goldman. Edited and with an introd. by Maurice Samuel.</t>
  </si>
  <si>
    <t>Goldman, Solomon, 1893-1953.</t>
  </si>
  <si>
    <t>Chicago : University of Chicago Press, [1963]</t>
  </si>
  <si>
    <t>Phoenix books ; P141</t>
  </si>
  <si>
    <t>2009-11-21</t>
  </si>
  <si>
    <t>1918180:eng</t>
  </si>
  <si>
    <t>7095186</t>
  </si>
  <si>
    <t>991005074759702656</t>
  </si>
  <si>
    <t>2258146910002656</t>
  </si>
  <si>
    <t>32285000367465</t>
  </si>
  <si>
    <t>893789395</t>
  </si>
  <si>
    <t>BM522.74 .O9 1974</t>
  </si>
  <si>
    <t>0                      BM 0522740O  9           1974</t>
  </si>
  <si>
    <t>Law and theology in Judaism / by David Novak. Foreword by Louis Finkelstein.</t>
  </si>
  <si>
    <t>Novak, David, 1941-</t>
  </si>
  <si>
    <t>New York : Ktav Pub. House, [1974]-76.</t>
  </si>
  <si>
    <t>2001-04-03</t>
  </si>
  <si>
    <t>2869493632:eng</t>
  </si>
  <si>
    <t>801690</t>
  </si>
  <si>
    <t>991003278749702656</t>
  </si>
  <si>
    <t>2270016320002656</t>
  </si>
  <si>
    <t>9780870682452</t>
  </si>
  <si>
    <t>32285000367473</t>
  </si>
  <si>
    <t>893240049</t>
  </si>
  <si>
    <t>BM526 .B55</t>
  </si>
  <si>
    <t>0                      BM 0526000B  55</t>
  </si>
  <si>
    <t>Kabbalah and criticism / Harold Bloom.</t>
  </si>
  <si>
    <t>Bloom, Harold.</t>
  </si>
  <si>
    <t>New York : Seabury Press, [1975]</t>
  </si>
  <si>
    <t>A Continuum book</t>
  </si>
  <si>
    <t>2004-05-06</t>
  </si>
  <si>
    <t>1990-06-12</t>
  </si>
  <si>
    <t>2229648:eng</t>
  </si>
  <si>
    <t>1339798</t>
  </si>
  <si>
    <t>991003703469702656</t>
  </si>
  <si>
    <t>2254725710002656</t>
  </si>
  <si>
    <t>9780816492640</t>
  </si>
  <si>
    <t>32285000190362</t>
  </si>
  <si>
    <t>893499601</t>
  </si>
  <si>
    <t>BM535 .B3 1961</t>
  </si>
  <si>
    <t>0                      BM 0535000B  3           1961</t>
  </si>
  <si>
    <t>The Jews and the Gospel: a re-examination of the New Testament / by Gregory Baum.</t>
  </si>
  <si>
    <t>Baum, Gregory, 1923-2017.</t>
  </si>
  <si>
    <t>Westminster,Md., Newman Press [1961]</t>
  </si>
  <si>
    <t>1997-02-10</t>
  </si>
  <si>
    <t>1990-11-02</t>
  </si>
  <si>
    <t>351608783:eng</t>
  </si>
  <si>
    <t>377474</t>
  </si>
  <si>
    <t>991002607879702656</t>
  </si>
  <si>
    <t>2262984650002656</t>
  </si>
  <si>
    <t>32285000368232</t>
  </si>
  <si>
    <t>893780007</t>
  </si>
  <si>
    <t>BM535 .D35</t>
  </si>
  <si>
    <t>0                      BM 0535000D  35</t>
  </si>
  <si>
    <t>Torah in the Messianic age and/or the age to come / by W.D. Davis.</t>
  </si>
  <si>
    <t>Davies, W. D. (William David), 1911-2001.</t>
  </si>
  <si>
    <t>Philadelphia, Society of Biblical Literature, 1952.</t>
  </si>
  <si>
    <t>1952</t>
  </si>
  <si>
    <t>Journal of Biblical literature. Monograph series ; v. 7</t>
  </si>
  <si>
    <t>1558432:eng</t>
  </si>
  <si>
    <t>480736</t>
  </si>
  <si>
    <t>991003757709702656</t>
  </si>
  <si>
    <t>2257634440002656</t>
  </si>
  <si>
    <t>9780891301776</t>
  </si>
  <si>
    <t>32285000368331</t>
  </si>
  <si>
    <t>893693117</t>
  </si>
  <si>
    <t>BM535 .F24 1967</t>
  </si>
  <si>
    <t>0                      BM 0535000F  24          1967</t>
  </si>
  <si>
    <t>Face to face : a primer in dialogue / edited by Lily Edelman.</t>
  </si>
  <si>
    <t>[Washington, D.C.] : B'nai B'rith, Adult Jewish Education ; [New York] : Anti-defamation League of B'nai B'rith, c1967.</t>
  </si>
  <si>
    <t>1996-09-29</t>
  </si>
  <si>
    <t>1171868671:eng</t>
  </si>
  <si>
    <t>10403529</t>
  </si>
  <si>
    <t>991000366539702656</t>
  </si>
  <si>
    <t>2267172730002656</t>
  </si>
  <si>
    <t>32285000368356</t>
  </si>
  <si>
    <t>893249267</t>
  </si>
  <si>
    <t>BM535 .J822 1987</t>
  </si>
  <si>
    <t>0                      BM 0535000J  822         1987</t>
  </si>
  <si>
    <t>Judaism and Christianity in the age of Constantine : history, Messiah, Israel, and the initial confrontation / Jacob Neusner.</t>
  </si>
  <si>
    <t>Chicago : University of Chicago Press, 1987.</t>
  </si>
  <si>
    <t>Chicago studies in the history of Judaism</t>
  </si>
  <si>
    <t>2001-04-20</t>
  </si>
  <si>
    <t>197785211:eng</t>
  </si>
  <si>
    <t>15421782</t>
  </si>
  <si>
    <t>991005407689702656</t>
  </si>
  <si>
    <t>2258551660002656</t>
  </si>
  <si>
    <t>9780226576527</t>
  </si>
  <si>
    <t>32285000368455</t>
  </si>
  <si>
    <t>893533795</t>
  </si>
  <si>
    <t>BM535 .J824</t>
  </si>
  <si>
    <t>0                      BM 0535000J  824</t>
  </si>
  <si>
    <t>Judaism and Christianity; selected accounts, 1892-1962 / Pref. and introd. by Jacob B. Agus.</t>
  </si>
  <si>
    <t>1996-11-09</t>
  </si>
  <si>
    <t>891614195:eng</t>
  </si>
  <si>
    <t>668373</t>
  </si>
  <si>
    <t>991003123159702656</t>
  </si>
  <si>
    <t>2255325840002656</t>
  </si>
  <si>
    <t>9780405052767</t>
  </si>
  <si>
    <t>32285000368463</t>
  </si>
  <si>
    <t>893422199</t>
  </si>
  <si>
    <t>BM535 .J834</t>
  </si>
  <si>
    <t>0                      BM 0535000J  834</t>
  </si>
  <si>
    <t>Judaïsme et christianisme, dossier patristique / [par] D. Judant.</t>
  </si>
  <si>
    <t>Judant, Denise.</t>
  </si>
  <si>
    <t>Paris, Éditions du Cèdre, 1969.</t>
  </si>
  <si>
    <t>fre</t>
  </si>
  <si>
    <t xml:space="preserve">fr </t>
  </si>
  <si>
    <t>2010-06-15</t>
  </si>
  <si>
    <t>181184160:fre</t>
  </si>
  <si>
    <t>5783190</t>
  </si>
  <si>
    <t>991004875119702656</t>
  </si>
  <si>
    <t>2271259580002656</t>
  </si>
  <si>
    <t>32285000368471</t>
  </si>
  <si>
    <t>893430573</t>
  </si>
  <si>
    <t>BM535 .L2913</t>
  </si>
  <si>
    <t>0                      BM 0535000L  2913</t>
  </si>
  <si>
    <t>Jewish monotheism and Christian trinitarian doctrine : a dialogue / by Pinchas Lapide and Jürgen Moltmann ; translated by Leonard Swidler.</t>
  </si>
  <si>
    <t>Lapide, Pinchas, 1922-</t>
  </si>
  <si>
    <t>Philadelphia : Fortress Press, c1981.</t>
  </si>
  <si>
    <t>2003-02-18</t>
  </si>
  <si>
    <t>5616508130:eng</t>
  </si>
  <si>
    <t>6649620</t>
  </si>
  <si>
    <t>991005020929702656</t>
  </si>
  <si>
    <t>2265938360002656</t>
  </si>
  <si>
    <t>9780800614058</t>
  </si>
  <si>
    <t>32285000368505</t>
  </si>
  <si>
    <t>893613014</t>
  </si>
  <si>
    <t>BM535 .M595 1985</t>
  </si>
  <si>
    <t>0                      BM 0535000M  595         1985</t>
  </si>
  <si>
    <t>More stepping stones to Jewish-Christian relations : an unabridged collection of Christian documents, 1975-1983 / compiled and edited by Helga Croner.</t>
  </si>
  <si>
    <t>New York : Paulist Press, c1985.</t>
  </si>
  <si>
    <t>Studies in Judaism and Christianity</t>
  </si>
  <si>
    <t>2000-11-29</t>
  </si>
  <si>
    <t>891620706:eng</t>
  </si>
  <si>
    <t>12933114</t>
  </si>
  <si>
    <t>991000751369702656</t>
  </si>
  <si>
    <t>2255930570002656</t>
  </si>
  <si>
    <t>9780809127085</t>
  </si>
  <si>
    <t>32285000368547</t>
  </si>
  <si>
    <t>893878328</t>
  </si>
  <si>
    <t>BM535 .P2 1960a</t>
  </si>
  <si>
    <t>0                      BM 0535000P  2           1960a</t>
  </si>
  <si>
    <t>The foundations of Judaism and Christianity / James Parkes.</t>
  </si>
  <si>
    <t>Parkes, James, 1896-1981.</t>
  </si>
  <si>
    <t>London : Vallentine, Mitchell, [1960]</t>
  </si>
  <si>
    <t>2000-11-12</t>
  </si>
  <si>
    <t>3863668328:eng</t>
  </si>
  <si>
    <t>377382</t>
  </si>
  <si>
    <t>991002606059702656</t>
  </si>
  <si>
    <t>2263031000002656</t>
  </si>
  <si>
    <t>32285000090216</t>
  </si>
  <si>
    <t>893329307</t>
  </si>
  <si>
    <t>BM535 .S9 1967</t>
  </si>
  <si>
    <t>0                      BM 0535000S  9           1967</t>
  </si>
  <si>
    <t>The popes and the Jews in the Middle Ages / by Edward A. Synan. Pref. by John M. Oesterreicher.</t>
  </si>
  <si>
    <t>Synan, Edward A.</t>
  </si>
  <si>
    <t>New York : Macmillan, [1967]</t>
  </si>
  <si>
    <t>A Quest book</t>
  </si>
  <si>
    <t>2008-11-09</t>
  </si>
  <si>
    <t>1406673:eng</t>
  </si>
  <si>
    <t>6900614</t>
  </si>
  <si>
    <t>991005056689702656</t>
  </si>
  <si>
    <t>2263514580002656</t>
  </si>
  <si>
    <t>32285000368711</t>
  </si>
  <si>
    <t>893776756</t>
  </si>
  <si>
    <t>BM560 .B323 1957</t>
  </si>
  <si>
    <t>0                      BM 0560000B  323         1957</t>
  </si>
  <si>
    <t>The story of Judaism / Bernard J. Bamberger.</t>
  </si>
  <si>
    <t>Bamberger, Bernard J. (Bernard Jacob), 1904-1980.</t>
  </si>
  <si>
    <t>New York : Union of American Hebrew Congregations, c1957, 1962 printing.</t>
  </si>
  <si>
    <t>Commission on Jewish Education of the Union of American Hebrew Congregations and Central Conference of American Rabbis. Union adult series</t>
  </si>
  <si>
    <t>2000-05-25</t>
  </si>
  <si>
    <t>377792976:eng</t>
  </si>
  <si>
    <t>377541</t>
  </si>
  <si>
    <t>991005354989702656</t>
  </si>
  <si>
    <t>2260897270002656</t>
  </si>
  <si>
    <t>32285000368869</t>
  </si>
  <si>
    <t>893796021</t>
  </si>
  <si>
    <t>BM560 .G53</t>
  </si>
  <si>
    <t>0                      BM 0560000G  53</t>
  </si>
  <si>
    <t>Jewish panorama / [by] David Goldstein, LL. D.</t>
  </si>
  <si>
    <t>Goldstein, David, 1870-1958.</t>
  </si>
  <si>
    <t>Boston, Mass., Catholic campaigners for Christ [c1940]</t>
  </si>
  <si>
    <t>1940</t>
  </si>
  <si>
    <t>1994-09-26</t>
  </si>
  <si>
    <t>2175834:eng</t>
  </si>
  <si>
    <t>1306606</t>
  </si>
  <si>
    <t>991003681029702656</t>
  </si>
  <si>
    <t>2265102070002656</t>
  </si>
  <si>
    <t>32285000368935</t>
  </si>
  <si>
    <t>893435297</t>
  </si>
  <si>
    <t>BM565 .G44 1992</t>
  </si>
  <si>
    <t>0                      BM 0565000G  44          1992</t>
  </si>
  <si>
    <t>Correlations in Rosenzweig and Levinas / Robert Gibbs.</t>
  </si>
  <si>
    <t>Gibbs, Robert, 1958-</t>
  </si>
  <si>
    <t>Princeton, N.J. : Princeton University Press, c1992.</t>
  </si>
  <si>
    <t>1992</t>
  </si>
  <si>
    <t>2001-03-20</t>
  </si>
  <si>
    <t>1995-01-20</t>
  </si>
  <si>
    <t>354006495:eng</t>
  </si>
  <si>
    <t>25410712</t>
  </si>
  <si>
    <t>991001999919702656</t>
  </si>
  <si>
    <t>2255128460002656</t>
  </si>
  <si>
    <t>9780691074153</t>
  </si>
  <si>
    <t>32285001994002</t>
  </si>
  <si>
    <t>893703557</t>
  </si>
  <si>
    <t>BM600 .S3 1961</t>
  </si>
  <si>
    <t>0                      BM 0600000S  3           1961</t>
  </si>
  <si>
    <t>Aspects of rabbinic theology / [Introd. to new edition by Louis Finkelstein]</t>
  </si>
  <si>
    <t>Schechter, S. (Solomon), 1847-1915.</t>
  </si>
  <si>
    <t>New York, Schocken Books [1961]</t>
  </si>
  <si>
    <t>1996-09-23</t>
  </si>
  <si>
    <t>1990-11-07</t>
  </si>
  <si>
    <t>9381421101:eng</t>
  </si>
  <si>
    <t>7818533</t>
  </si>
  <si>
    <t>991001093519702656</t>
  </si>
  <si>
    <t>2271432530002656</t>
  </si>
  <si>
    <t>32285000369131</t>
  </si>
  <si>
    <t>893256007</t>
  </si>
  <si>
    <t>BM613 .H3</t>
  </si>
  <si>
    <t>0                      BM 0613000H  3</t>
  </si>
  <si>
    <t>The remnant : the history and theology of the remnant idea from Genesis to Isaiah.</t>
  </si>
  <si>
    <t>Hasel, Gerhard F.</t>
  </si>
  <si>
    <t>Berrien Springs, Mich., Andrews University Press, 1972.</t>
  </si>
  <si>
    <t>Andrews University monographs ; v. 5</t>
  </si>
  <si>
    <t>2001-11-26</t>
  </si>
  <si>
    <t>1990-11-16</t>
  </si>
  <si>
    <t>1627345:eng</t>
  </si>
  <si>
    <t>558831</t>
  </si>
  <si>
    <t>991002988239702656</t>
  </si>
  <si>
    <t>2260921510002656</t>
  </si>
  <si>
    <t>32285000388065</t>
  </si>
  <si>
    <t>893698543</t>
  </si>
  <si>
    <t>BM645.E7 G5</t>
  </si>
  <si>
    <t>0                      BM 0645000E  7                  G  5</t>
  </si>
  <si>
    <t>Greek influence in Jewish eschatology; with special reference to the apocalypses and pseudepigraphs / by T. Francis Glasson.</t>
  </si>
  <si>
    <t>Glasson, T. F. (Thomas Francis)</t>
  </si>
  <si>
    <t>London, S. P. C. K., 1961.</t>
  </si>
  <si>
    <t>Biblical monographs, 1</t>
  </si>
  <si>
    <t>1992-10-02</t>
  </si>
  <si>
    <t>287941361:eng</t>
  </si>
  <si>
    <t>307769</t>
  </si>
  <si>
    <t>991002269389702656</t>
  </si>
  <si>
    <t>2264491560002656</t>
  </si>
  <si>
    <t>32285000369529</t>
  </si>
  <si>
    <t>893427411</t>
  </si>
  <si>
    <t>BM645.M37 L53 1984</t>
  </si>
  <si>
    <t>0                      BM 0645000M  37                 L  53          1984</t>
  </si>
  <si>
    <t>The commerce of the sacred : mediation of the divine among Jews in the Graeco-Roman Diaspora / by Jack N. Lightstone.</t>
  </si>
  <si>
    <t>Lightstone, Jack N.</t>
  </si>
  <si>
    <t>Chico, Calif. : Scholars Press, c1984.</t>
  </si>
  <si>
    <t>Brown Judaic studies ; no. 59</t>
  </si>
  <si>
    <t>1998-06-12</t>
  </si>
  <si>
    <t>10677738288:eng</t>
  </si>
  <si>
    <t>10100704</t>
  </si>
  <si>
    <t>991000312599702656</t>
  </si>
  <si>
    <t>2256163110002656</t>
  </si>
  <si>
    <t>9780891306641</t>
  </si>
  <si>
    <t>32285000369578</t>
  </si>
  <si>
    <t>893614086</t>
  </si>
  <si>
    <t>BM645.R4 R48</t>
  </si>
  <si>
    <t>0                      BM 0645000R  4                  R  48</t>
  </si>
  <si>
    <t>Revelation and redemption : Jewish documents of deliverance from the fall of Jerusalem to the death of Naḥmanides / introd., translation, conclusions, and notes by George Wesley Buchanan.</t>
  </si>
  <si>
    <t>Dillsboro, N.C. : Western North Carolina Press, c1978.</t>
  </si>
  <si>
    <t>ncu</t>
  </si>
  <si>
    <t>889704714:eng</t>
  </si>
  <si>
    <t>4859611</t>
  </si>
  <si>
    <t>991004802929702656</t>
  </si>
  <si>
    <t>2267454660002656</t>
  </si>
  <si>
    <t>32285000369594</t>
  </si>
  <si>
    <t>893807499</t>
  </si>
  <si>
    <t>BM645.S6 H5 1973</t>
  </si>
  <si>
    <t>0                      BM 0645000S  6                  H  5           1973</t>
  </si>
  <si>
    <t>Rabbinic psychology : beliefs about the soul in Rabbinic literature of the Talmudic period / by W. Hirsch.</t>
  </si>
  <si>
    <t>Hirsch, W.</t>
  </si>
  <si>
    <t>2001-11-19</t>
  </si>
  <si>
    <t>18467790:eng</t>
  </si>
  <si>
    <t>667005</t>
  </si>
  <si>
    <t>991003121659702656</t>
  </si>
  <si>
    <t>2256706910002656</t>
  </si>
  <si>
    <t>9780405052729</t>
  </si>
  <si>
    <t>32285000369602</t>
  </si>
  <si>
    <t>893323782</t>
  </si>
  <si>
    <t>BM656 .V38</t>
  </si>
  <si>
    <t>0                      BM 0656000V  38</t>
  </si>
  <si>
    <t>The meaning of "bāmâ" in the Old Testament : a study of etymological, textual and archaeological evidence / Patrick H. Vaughan.</t>
  </si>
  <si>
    <t>Vaughan, Patrick H.</t>
  </si>
  <si>
    <t>London ; New York : Cambridge University Press, 1974.</t>
  </si>
  <si>
    <t>Monograph series (Society for Old Testament Study) ; 3</t>
  </si>
  <si>
    <t>2009-10-27</t>
  </si>
  <si>
    <t>229332707:eng</t>
  </si>
  <si>
    <t>1119354</t>
  </si>
  <si>
    <t>991003550669702656</t>
  </si>
  <si>
    <t>2256061720002656</t>
  </si>
  <si>
    <t>9780521204255</t>
  </si>
  <si>
    <t>32285000369750</t>
  </si>
  <si>
    <t>893692831</t>
  </si>
  <si>
    <t>BM660 .H4613 1977</t>
  </si>
  <si>
    <t>0                      BM 0660000H  4613        1977</t>
  </si>
  <si>
    <t>Prayer in the Talmud : forms and patterns / by Joseph Heinemann.</t>
  </si>
  <si>
    <t>Heinemann, Joseph.</t>
  </si>
  <si>
    <t>Berlin ; New York : de Gruyter, 1977.</t>
  </si>
  <si>
    <t>Studia Judaica ; Bd. 9</t>
  </si>
  <si>
    <t>355028431:eng</t>
  </si>
  <si>
    <t>2797834</t>
  </si>
  <si>
    <t>991004244299702656</t>
  </si>
  <si>
    <t>2265608230002656</t>
  </si>
  <si>
    <t>9783110042894</t>
  </si>
  <si>
    <t>32285000369776</t>
  </si>
  <si>
    <t>893253452</t>
  </si>
  <si>
    <t>BM669 .J3 1973</t>
  </si>
  <si>
    <t>0                      BM 0669000J  3           1973</t>
  </si>
  <si>
    <t>Hasidic prayer / Louis Jacobs.</t>
  </si>
  <si>
    <t>New York, Schocken Books [1973, c1972]</t>
  </si>
  <si>
    <t>The Littman library of Jewish civilization</t>
  </si>
  <si>
    <t>2000-05-22</t>
  </si>
  <si>
    <t>460448:eng</t>
  </si>
  <si>
    <t>631803</t>
  </si>
  <si>
    <t>991005356119702656</t>
  </si>
  <si>
    <t>2263093370002656</t>
  </si>
  <si>
    <t>32285000369826</t>
  </si>
  <si>
    <t>893601032</t>
  </si>
  <si>
    <t>BM675.D3 B7 1962</t>
  </si>
  <si>
    <t>0                      BM 0675000D  3                  B  7           1962</t>
  </si>
  <si>
    <t>The authorised daily prayer book of the United Hebrew congregations of the British Commonwealth of Nations / with a new translation by the late Rev. S. Singer ; published under the sanction of Chief Rabbi Dr. Nathan Marcus Adler.</t>
  </si>
  <si>
    <t>Siddur.</t>
  </si>
  <si>
    <t>London : Eyre &amp; Spottiswoode ; New York : Bloch Publishing Company, 1962.</t>
  </si>
  <si>
    <t>New ed. reset and enl. under the direction of Israel Brodie. [2nd rev. ed.].</t>
  </si>
  <si>
    <t>2006-07-31</t>
  </si>
  <si>
    <t>5608968497:eng</t>
  </si>
  <si>
    <t>12928668</t>
  </si>
  <si>
    <t>991004895949702656</t>
  </si>
  <si>
    <t>2263535750002656</t>
  </si>
  <si>
    <t>32285005198782</t>
  </si>
  <si>
    <t>893236029</t>
  </si>
  <si>
    <t>BM675.D3 H4 1948</t>
  </si>
  <si>
    <t>0                      BM 0675000D  3                  H  4           1948</t>
  </si>
  <si>
    <t>The authorised daily prayer book.</t>
  </si>
  <si>
    <t>New York : Bloch Pub. Co., c1948, 1965 printing.</t>
  </si>
  <si>
    <t>Rev. ed. Hebrew text, English translation, with commentary and notes, by Joseph H. Hertz.</t>
  </si>
  <si>
    <t>2005-02-16</t>
  </si>
  <si>
    <t>4925938430:eng</t>
  </si>
  <si>
    <t>2481823</t>
  </si>
  <si>
    <t>991004134649702656</t>
  </si>
  <si>
    <t>2263491710002656</t>
  </si>
  <si>
    <t>32285000369859</t>
  </si>
  <si>
    <t>893512854</t>
  </si>
  <si>
    <t>BM685 .G49 1989</t>
  </si>
  <si>
    <t>0                      BM 0685000G  49          1989</t>
  </si>
  <si>
    <t>The Sabbath in the classical Kabbalah / Elliot K. Ginsburg.</t>
  </si>
  <si>
    <t>Ginsburg, Elliot Kiba.</t>
  </si>
  <si>
    <t>Albany, N.Y. : State University of New York Press, c1989.</t>
  </si>
  <si>
    <t>SUNY series in Judaica</t>
  </si>
  <si>
    <t>2003-12-07</t>
  </si>
  <si>
    <t>1990-06-04</t>
  </si>
  <si>
    <t>1750135566:eng</t>
  </si>
  <si>
    <t>16986040</t>
  </si>
  <si>
    <t>991001174919702656</t>
  </si>
  <si>
    <t>2272292140002656</t>
  </si>
  <si>
    <t>9780887067792</t>
  </si>
  <si>
    <t>32285000156736</t>
  </si>
  <si>
    <t>893496886</t>
  </si>
  <si>
    <t>BM720.S4 G67 1978</t>
  </si>
  <si>
    <t>0                      BM 0720000S  4                  G  67          1978</t>
  </si>
  <si>
    <t>Love &amp; sex : a modern Jewish perspective / Robert Gordis.</t>
  </si>
  <si>
    <t>Gordis, Robert, 1908-1992.</t>
  </si>
  <si>
    <t>New York : Farrar Straus Giroux, 1978.</t>
  </si>
  <si>
    <t>-- 1st ed. --</t>
  </si>
  <si>
    <t>2005-04-20</t>
  </si>
  <si>
    <t>3952366:eng</t>
  </si>
  <si>
    <t>3380140</t>
  </si>
  <si>
    <t>991003120359702656</t>
  </si>
  <si>
    <t>2272718060002656</t>
  </si>
  <si>
    <t>9780374192525</t>
  </si>
  <si>
    <t>32285003560835</t>
  </si>
  <si>
    <t>893505230</t>
  </si>
  <si>
    <t>BM729.P3 L36 1986</t>
  </si>
  <si>
    <t>0                      BM 0729000P  3                  L  36          1986</t>
  </si>
  <si>
    <t>The Land of Israel : Jewish perspectives / Lawrence A. Hoffman, editor.</t>
  </si>
  <si>
    <t>Notre Dame, Ind. : University of Notre Dame Press, c1986.</t>
  </si>
  <si>
    <t>Studies in Judaism and Christianity in antiquity ; no. 6</t>
  </si>
  <si>
    <t>2002-09-22</t>
  </si>
  <si>
    <t>889750607:eng</t>
  </si>
  <si>
    <t>14213564</t>
  </si>
  <si>
    <t>991000922209702656</t>
  </si>
  <si>
    <t>2269294190002656</t>
  </si>
  <si>
    <t>9780268012809</t>
  </si>
  <si>
    <t>32285001112902</t>
  </si>
  <si>
    <t>893778374</t>
  </si>
  <si>
    <t>BM729.P3 V57 1985</t>
  </si>
  <si>
    <t>0                      BM 0729000P  3                  V  57          1985</t>
  </si>
  <si>
    <t>Vision and conflict in the Holy Land / edited by Richard I. Cohen.</t>
  </si>
  <si>
    <t>Jerusalem : Yad Ben-Zvi ; New York : St. Martin's Press, 1985.</t>
  </si>
  <si>
    <t>2002-04-03</t>
  </si>
  <si>
    <t>1990-11-08</t>
  </si>
  <si>
    <t>10180773255:eng</t>
  </si>
  <si>
    <t>11726128</t>
  </si>
  <si>
    <t>991000579139702656</t>
  </si>
  <si>
    <t>2255428750002656</t>
  </si>
  <si>
    <t>9780312849672</t>
  </si>
  <si>
    <t>32285000395110</t>
  </si>
  <si>
    <t>893321167</t>
  </si>
  <si>
    <t>BM729.P7 P6 1988</t>
  </si>
  <si>
    <t>0                      BM 0729000P  7                  P  6           1988</t>
  </si>
  <si>
    <t>Pushing the faith : proselytism and civility in a pluralistic world / edited by Martin E. Marty and Frederick E. Greenspahn.</t>
  </si>
  <si>
    <t>New York : Crossroad, 1988.</t>
  </si>
  <si>
    <t>1988</t>
  </si>
  <si>
    <t>2000-11-14</t>
  </si>
  <si>
    <t>1989-11-16</t>
  </si>
  <si>
    <t>350196335:eng</t>
  </si>
  <si>
    <t>17549121</t>
  </si>
  <si>
    <t>991001233689702656</t>
  </si>
  <si>
    <t>2270758550002656</t>
  </si>
  <si>
    <t>9780824508715</t>
  </si>
  <si>
    <t>32285000012970</t>
  </si>
  <si>
    <t>893784951</t>
  </si>
  <si>
    <t>BM755.H34 A27 1985</t>
  </si>
  <si>
    <t>0                      BM 0755000H  34                 A  27          1985</t>
  </si>
  <si>
    <t>Abraham Joshua Heschel : exploring his life and thought / edited and introduced by John C. Merkle.</t>
  </si>
  <si>
    <t>New York, N.Y. : Macmillan, c1985.</t>
  </si>
  <si>
    <t>2005-04-15</t>
  </si>
  <si>
    <t>792844873:eng</t>
  </si>
  <si>
    <t>11784553</t>
  </si>
  <si>
    <t>991000590209702656</t>
  </si>
  <si>
    <t>2256964700002656</t>
  </si>
  <si>
    <t>9780029209707</t>
  </si>
  <si>
    <t>32285000395227</t>
  </si>
  <si>
    <t>893413497</t>
  </si>
  <si>
    <t>BM755.J7 N42</t>
  </si>
  <si>
    <t>0                      BM 0755000J  7                  N  42</t>
  </si>
  <si>
    <t>First century Judaism in crisis; Yohanan ben Zakkai and the renaissance of Torah / Jacob Neusner.</t>
  </si>
  <si>
    <t>Nashville, Abingdon Press [1975]</t>
  </si>
  <si>
    <t>2004-07-20</t>
  </si>
  <si>
    <t>1926513:eng</t>
  </si>
  <si>
    <t>1008177</t>
  </si>
  <si>
    <t>991003466459702656</t>
  </si>
  <si>
    <t>2263215760002656</t>
  </si>
  <si>
    <t>9780687131204</t>
  </si>
  <si>
    <t>32285000395243</t>
  </si>
  <si>
    <t>893246368</t>
  </si>
  <si>
    <t>BM755.L425 A3 1988</t>
  </si>
  <si>
    <t>0                      BM 0755000L  425                A  3           1988</t>
  </si>
  <si>
    <t>Lovesong : becoming a Jew / Julius Lester.</t>
  </si>
  <si>
    <t>Lester, Julius, 1939-2018.</t>
  </si>
  <si>
    <t>New York, N.Y. : H. Holt, c1988.</t>
  </si>
  <si>
    <t>2005-01-25</t>
  </si>
  <si>
    <t>12304364:eng</t>
  </si>
  <si>
    <t>16227894</t>
  </si>
  <si>
    <t>991001094499702656</t>
  </si>
  <si>
    <t>2264770410002656</t>
  </si>
  <si>
    <t>9780805005882</t>
  </si>
  <si>
    <t>32285000395250</t>
  </si>
  <si>
    <t>893708989</t>
  </si>
  <si>
    <t>BM755.S69 H33 1990</t>
  </si>
  <si>
    <t>0                      BM 0755000S  69                 H  33          1990</t>
  </si>
  <si>
    <t>Philosopher of revelation : the life and thought of S.L. Steinheim : including an annotated translation, with a biographical and analytical introduction, of the entire first volume of his four-volume work, The revelation according to the doctrine of Judaism, a criterion, and selections from volume 2, 3, and 4 / Joshua O. Haberman.</t>
  </si>
  <si>
    <t>Haberman, Joshua O.</t>
  </si>
  <si>
    <t>Philadelphia : Jewish Publication Society, 1990.</t>
  </si>
  <si>
    <t>1997-12-03</t>
  </si>
  <si>
    <t>1992-02-10</t>
  </si>
  <si>
    <t>4202349014:eng</t>
  </si>
  <si>
    <t>20524271</t>
  </si>
  <si>
    <t>991001584739702656</t>
  </si>
  <si>
    <t>2272712720002656</t>
  </si>
  <si>
    <t>9780827603530</t>
  </si>
  <si>
    <t>32285000869155</t>
  </si>
  <si>
    <t>893885385</t>
  </si>
  <si>
    <t>BM905 .C76 1989</t>
  </si>
  <si>
    <t>0                      BM 0905000C  76          1989</t>
  </si>
  <si>
    <t>The Samaritans / edited by Alan D. Crown.</t>
  </si>
  <si>
    <t>Tübingen : J.C.B. Mohr (Paul Siebeck), c1989.</t>
  </si>
  <si>
    <t>1994-05-13</t>
  </si>
  <si>
    <t>1991-04-16</t>
  </si>
  <si>
    <t>55219869:eng</t>
  </si>
  <si>
    <t>19764865</t>
  </si>
  <si>
    <t>991001496059702656</t>
  </si>
  <si>
    <t>2266324100002656</t>
  </si>
  <si>
    <t>9783161452376</t>
  </si>
  <si>
    <t>32285000567536</t>
  </si>
  <si>
    <t>893509655</t>
  </si>
  <si>
    <t>BM913.D67 I85 1976</t>
  </si>
  <si>
    <t>0                      BM 0913000D  67                 I  85          1976</t>
  </si>
  <si>
    <t>The Dositheans : a Samaritan sect in late antiquity / by Stanley Jerome Isser.</t>
  </si>
  <si>
    <t>Isser, Stanley Jerome.</t>
  </si>
  <si>
    <t>Leiden : Brill, 1976.</t>
  </si>
  <si>
    <t>Studies in Judaism in late antiquity ; v. 17</t>
  </si>
  <si>
    <t>1995-11-04</t>
  </si>
  <si>
    <t>1992-05-15</t>
  </si>
  <si>
    <t>889881519:eng</t>
  </si>
  <si>
    <t>2895748</t>
  </si>
  <si>
    <t>991004276739702656</t>
  </si>
  <si>
    <t>2268822590002656</t>
  </si>
  <si>
    <t>9789004044814</t>
  </si>
  <si>
    <t>32285001111292</t>
  </si>
  <si>
    <t>893429880</t>
  </si>
  <si>
    <t>BM927 .L68</t>
  </si>
  <si>
    <t>0                      BM 0927000L  68</t>
  </si>
  <si>
    <t>The principles of Samaritan bible exegesis / by S. Lowy.</t>
  </si>
  <si>
    <t>Lowy, S.</t>
  </si>
  <si>
    <t>Leiden : Brill, 1977.</t>
  </si>
  <si>
    <t>Studia post-Biblica ; v. 28</t>
  </si>
  <si>
    <t>1992-05-20</t>
  </si>
  <si>
    <t>111550750:eng</t>
  </si>
  <si>
    <t>3590726</t>
  </si>
  <si>
    <t>991004479099702656</t>
  </si>
  <si>
    <t>2264124100002656</t>
  </si>
  <si>
    <t>9789004049253</t>
  </si>
  <si>
    <t>32285001112555</t>
  </si>
  <si>
    <t>893411592</t>
  </si>
  <si>
    <t>BM950.B3 C63</t>
  </si>
  <si>
    <t>0                      BM 0950000B  3                  C  63</t>
  </si>
  <si>
    <t>A Samaritan chronicle : a source-critical analysis of the life and times of the great Samaritan reformer, Baba Rabbah / by Jeffrey M. Cohen.</t>
  </si>
  <si>
    <t>Cohen, Jeffrey M.</t>
  </si>
  <si>
    <t>Leiden : Brill, 1981.</t>
  </si>
  <si>
    <t>Studia post-Biblica ; v. 30</t>
  </si>
  <si>
    <t>1992-11-01</t>
  </si>
  <si>
    <t>1090456172:eng</t>
  </si>
  <si>
    <t>7667319</t>
  </si>
  <si>
    <t>991005145799702656</t>
  </si>
  <si>
    <t>2257383290002656</t>
  </si>
  <si>
    <t>9789004062153</t>
  </si>
  <si>
    <t>32285001380426</t>
  </si>
  <si>
    <t>893507683</t>
  </si>
  <si>
    <t>BM982 .B65 1989</t>
  </si>
  <si>
    <t>0                      BM 0982000B  65          1989</t>
  </si>
  <si>
    <t>Principles of Samaritan halachah / by Iain Ruairidh Mac Mhanainn Bóid.</t>
  </si>
  <si>
    <t>Bóid, Iain Ruairidh Mac Mhanainn.</t>
  </si>
  <si>
    <t>Leiden ; New York : Brill, 1989.</t>
  </si>
  <si>
    <t>Studies in Judaism in late antiquity, 0169-961X ; v. 38</t>
  </si>
  <si>
    <t>1989-11-01</t>
  </si>
  <si>
    <t>17438787:eng</t>
  </si>
  <si>
    <t>18560204</t>
  </si>
  <si>
    <t>991001368419702656</t>
  </si>
  <si>
    <t>2271575920002656</t>
  </si>
  <si>
    <t>9789004074798</t>
  </si>
  <si>
    <t>32285000010859</t>
  </si>
  <si>
    <t>893803574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</si>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</sst>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42A5-AEB0-4FBC-93CF-625885AF815A}">
  <dimension ref="A1:BF143"/>
  <sheetViews>
    <sheetView tabSelected="1" workbookViewId="0">
      <pane ySplit="1" topLeftCell="A2" activePane="bottomLeft" state="frozen"/>
      <selection pane="bottomLeft" activeCell="M2" sqref="M2"/>
    </sheetView>
  </sheetViews>
  <sheetFormatPr defaultRowHeight="36.75" customHeight="1" x14ac:dyDescent="0.25"/>
  <cols>
    <col min="1" max="1" width="13.5703125" customWidth="1"/>
    <col min="2" max="3" width="0" hidden="1" customWidth="1"/>
    <col min="4" max="4" width="14.5703125" customWidth="1"/>
    <col min="5" max="5" width="17.42578125" hidden="1" customWidth="1"/>
    <col min="6" max="6" width="42.7109375" customWidth="1"/>
    <col min="8" max="12" width="0" hidden="1" customWidth="1"/>
    <col min="13" max="13" width="24.5703125" customWidth="1"/>
    <col min="14" max="14" width="18.5703125" customWidth="1"/>
    <col min="16" max="19" width="0" hidden="1" customWidth="1"/>
    <col min="22" max="28" width="0" hidden="1" customWidth="1"/>
    <col min="30" max="30" width="0" hidden="1" customWidth="1"/>
    <col min="32" max="32" width="0" hidden="1" customWidth="1"/>
    <col min="33" max="33" width="16.140625" customWidth="1"/>
    <col min="34" max="43" width="0" hidden="1" customWidth="1"/>
    <col min="44" max="44" width="10.7109375" hidden="1" customWidth="1"/>
    <col min="45" max="45" width="15.28515625" customWidth="1"/>
    <col min="46" max="46" width="11.28515625" customWidth="1"/>
    <col min="49" max="58" width="0" hidden="1" customWidth="1"/>
  </cols>
  <sheetData>
    <row r="1" spans="1:58" ht="36.75" customHeight="1" x14ac:dyDescent="0.25">
      <c r="A1" s="8" t="s">
        <v>1947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 spans="1:58" ht="36.75" customHeight="1" x14ac:dyDescent="0.25">
      <c r="A2" s="7" t="s">
        <v>62</v>
      </c>
      <c r="B2" s="2" t="s">
        <v>57</v>
      </c>
      <c r="C2" s="2" t="s">
        <v>58</v>
      </c>
      <c r="D2" s="2" t="s">
        <v>59</v>
      </c>
      <c r="E2" s="2" t="s">
        <v>60</v>
      </c>
      <c r="F2" s="2" t="s">
        <v>61</v>
      </c>
      <c r="H2" s="3" t="s">
        <v>62</v>
      </c>
      <c r="I2" s="3" t="s">
        <v>63</v>
      </c>
      <c r="J2" s="3" t="s">
        <v>62</v>
      </c>
      <c r="K2" s="3" t="s">
        <v>62</v>
      </c>
      <c r="L2" s="3" t="s">
        <v>64</v>
      </c>
      <c r="M2" s="2" t="s">
        <v>65</v>
      </c>
      <c r="N2" s="2" t="s">
        <v>66</v>
      </c>
      <c r="O2" s="3" t="s">
        <v>67</v>
      </c>
      <c r="Q2" s="3" t="s">
        <v>68</v>
      </c>
      <c r="R2" s="3" t="s">
        <v>69</v>
      </c>
      <c r="T2" s="3" t="s">
        <v>70</v>
      </c>
      <c r="U2" s="4">
        <v>4</v>
      </c>
      <c r="V2" s="4">
        <v>4</v>
      </c>
      <c r="W2" s="5" t="s">
        <v>71</v>
      </c>
      <c r="X2" s="5" t="s">
        <v>71</v>
      </c>
      <c r="Y2" s="5" t="s">
        <v>72</v>
      </c>
      <c r="Z2" s="5" t="s">
        <v>72</v>
      </c>
      <c r="AA2" s="4">
        <v>42</v>
      </c>
      <c r="AB2" s="4">
        <v>38</v>
      </c>
      <c r="AC2" s="4">
        <v>724</v>
      </c>
      <c r="AD2" s="4">
        <v>1</v>
      </c>
      <c r="AE2" s="4">
        <v>6</v>
      </c>
      <c r="AF2" s="4">
        <v>0</v>
      </c>
      <c r="AG2" s="4">
        <v>35</v>
      </c>
      <c r="AH2" s="4">
        <v>0</v>
      </c>
      <c r="AI2" s="4">
        <v>17</v>
      </c>
      <c r="AJ2" s="4">
        <v>0</v>
      </c>
      <c r="AK2" s="4">
        <v>3</v>
      </c>
      <c r="AL2" s="4">
        <v>0</v>
      </c>
      <c r="AM2" s="4">
        <v>14</v>
      </c>
      <c r="AN2" s="4">
        <v>0</v>
      </c>
      <c r="AO2" s="4">
        <v>4</v>
      </c>
      <c r="AP2" s="4">
        <v>0</v>
      </c>
      <c r="AQ2" s="4">
        <v>2</v>
      </c>
      <c r="AR2" s="3" t="s">
        <v>62</v>
      </c>
      <c r="AS2" s="3" t="s">
        <v>62</v>
      </c>
      <c r="AU2" s="6" t="str">
        <f>HYPERLINK("https://creighton-primo.hosted.exlibrisgroup.com/primo-explore/search?tab=default_tab&amp;search_scope=EVERYTHING&amp;vid=01CRU&amp;lang=en_US&amp;offset=0&amp;query=any,contains,991002653789702656","Catalog Record")</f>
        <v>Catalog Record</v>
      </c>
      <c r="AV2" s="6" t="str">
        <f>HYPERLINK("http://www.worldcat.org/oclc/388021","WorldCat Record")</f>
        <v>WorldCat Record</v>
      </c>
      <c r="AW2" s="3" t="s">
        <v>73</v>
      </c>
      <c r="AX2" s="3" t="s">
        <v>74</v>
      </c>
      <c r="AY2" s="3" t="s">
        <v>75</v>
      </c>
      <c r="AZ2" s="3" t="s">
        <v>75</v>
      </c>
      <c r="BA2" s="3" t="s">
        <v>76</v>
      </c>
      <c r="BB2" s="3" t="s">
        <v>77</v>
      </c>
      <c r="BE2" s="3" t="s">
        <v>78</v>
      </c>
      <c r="BF2" s="3" t="s">
        <v>79</v>
      </c>
    </row>
    <row r="3" spans="1:58" ht="36.75" customHeight="1" x14ac:dyDescent="0.25">
      <c r="A3" s="7" t="s">
        <v>62</v>
      </c>
      <c r="B3" s="2" t="s">
        <v>57</v>
      </c>
      <c r="C3" s="2" t="s">
        <v>58</v>
      </c>
      <c r="D3" s="2" t="s">
        <v>80</v>
      </c>
      <c r="E3" s="2" t="s">
        <v>81</v>
      </c>
      <c r="F3" s="2" t="s">
        <v>82</v>
      </c>
      <c r="G3" s="3" t="s">
        <v>83</v>
      </c>
      <c r="H3" s="3" t="s">
        <v>84</v>
      </c>
      <c r="I3" s="3" t="s">
        <v>63</v>
      </c>
      <c r="J3" s="3" t="s">
        <v>62</v>
      </c>
      <c r="K3" s="3" t="s">
        <v>62</v>
      </c>
      <c r="L3" s="3" t="s">
        <v>64</v>
      </c>
      <c r="N3" s="2" t="s">
        <v>85</v>
      </c>
      <c r="O3" s="3" t="s">
        <v>86</v>
      </c>
      <c r="Q3" s="3" t="s">
        <v>68</v>
      </c>
      <c r="R3" s="3" t="s">
        <v>87</v>
      </c>
      <c r="T3" s="3" t="s">
        <v>70</v>
      </c>
      <c r="U3" s="4">
        <v>2</v>
      </c>
      <c r="V3" s="4">
        <v>2</v>
      </c>
      <c r="W3" s="5" t="s">
        <v>88</v>
      </c>
      <c r="X3" s="5" t="s">
        <v>88</v>
      </c>
      <c r="Y3" s="5" t="s">
        <v>89</v>
      </c>
      <c r="Z3" s="5" t="s">
        <v>72</v>
      </c>
      <c r="AA3" s="4">
        <v>1084</v>
      </c>
      <c r="AB3" s="4">
        <v>984</v>
      </c>
      <c r="AC3" s="4">
        <v>990</v>
      </c>
      <c r="AD3" s="4">
        <v>8</v>
      </c>
      <c r="AE3" s="4">
        <v>8</v>
      </c>
      <c r="AF3" s="4">
        <v>34</v>
      </c>
      <c r="AG3" s="4">
        <v>34</v>
      </c>
      <c r="AH3" s="4">
        <v>15</v>
      </c>
      <c r="AI3" s="4">
        <v>15</v>
      </c>
      <c r="AJ3" s="4">
        <v>7</v>
      </c>
      <c r="AK3" s="4">
        <v>7</v>
      </c>
      <c r="AL3" s="4">
        <v>14</v>
      </c>
      <c r="AM3" s="4">
        <v>14</v>
      </c>
      <c r="AN3" s="4">
        <v>6</v>
      </c>
      <c r="AO3" s="4">
        <v>6</v>
      </c>
      <c r="AP3" s="4">
        <v>0</v>
      </c>
      <c r="AQ3" s="4">
        <v>0</v>
      </c>
      <c r="AR3" s="3" t="s">
        <v>62</v>
      </c>
      <c r="AS3" s="3" t="s">
        <v>84</v>
      </c>
      <c r="AT3" s="6" t="str">
        <f>HYPERLINK("http://catalog.hathitrust.org/Record/000042488","HathiTrust Record")</f>
        <v>HathiTrust Record</v>
      </c>
      <c r="AU3" s="6" t="str">
        <f>HYPERLINK("https://creighton-primo.hosted.exlibrisgroup.com/primo-explore/search?tab=default_tab&amp;search_scope=EVERYTHING&amp;vid=01CRU&amp;lang=en_US&amp;offset=0&amp;query=any,contains,991003599459702656","Catalog Record")</f>
        <v>Catalog Record</v>
      </c>
      <c r="AV3" s="6" t="str">
        <f>HYPERLINK("http://www.worldcat.org/oclc/1177000","WorldCat Record")</f>
        <v>WorldCat Record</v>
      </c>
      <c r="AW3" s="3" t="s">
        <v>90</v>
      </c>
      <c r="AX3" s="3" t="s">
        <v>91</v>
      </c>
      <c r="AY3" s="3" t="s">
        <v>92</v>
      </c>
      <c r="AZ3" s="3" t="s">
        <v>92</v>
      </c>
      <c r="BA3" s="3" t="s">
        <v>93</v>
      </c>
      <c r="BB3" s="3" t="s">
        <v>77</v>
      </c>
      <c r="BD3" s="3" t="s">
        <v>94</v>
      </c>
      <c r="BE3" s="3" t="s">
        <v>95</v>
      </c>
      <c r="BF3" s="3" t="s">
        <v>96</v>
      </c>
    </row>
    <row r="4" spans="1:58" ht="36.75" customHeight="1" x14ac:dyDescent="0.25">
      <c r="A4" s="7" t="s">
        <v>62</v>
      </c>
      <c r="B4" s="2" t="s">
        <v>57</v>
      </c>
      <c r="C4" s="2" t="s">
        <v>58</v>
      </c>
      <c r="D4" s="2" t="s">
        <v>80</v>
      </c>
      <c r="E4" s="2" t="s">
        <v>81</v>
      </c>
      <c r="F4" s="2" t="s">
        <v>82</v>
      </c>
      <c r="G4" s="3" t="s">
        <v>97</v>
      </c>
      <c r="H4" s="3" t="s">
        <v>84</v>
      </c>
      <c r="I4" s="3" t="s">
        <v>63</v>
      </c>
      <c r="J4" s="3" t="s">
        <v>62</v>
      </c>
      <c r="K4" s="3" t="s">
        <v>62</v>
      </c>
      <c r="L4" s="3" t="s">
        <v>64</v>
      </c>
      <c r="N4" s="2" t="s">
        <v>85</v>
      </c>
      <c r="O4" s="3" t="s">
        <v>86</v>
      </c>
      <c r="Q4" s="3" t="s">
        <v>68</v>
      </c>
      <c r="R4" s="3" t="s">
        <v>87</v>
      </c>
      <c r="T4" s="3" t="s">
        <v>70</v>
      </c>
      <c r="U4" s="4">
        <v>0</v>
      </c>
      <c r="V4" s="4">
        <v>2</v>
      </c>
      <c r="X4" s="5" t="s">
        <v>88</v>
      </c>
      <c r="Y4" s="5" t="s">
        <v>72</v>
      </c>
      <c r="Z4" s="5" t="s">
        <v>72</v>
      </c>
      <c r="AA4" s="4">
        <v>1084</v>
      </c>
      <c r="AB4" s="4">
        <v>984</v>
      </c>
      <c r="AC4" s="4">
        <v>990</v>
      </c>
      <c r="AD4" s="4">
        <v>8</v>
      </c>
      <c r="AE4" s="4">
        <v>8</v>
      </c>
      <c r="AF4" s="4">
        <v>34</v>
      </c>
      <c r="AG4" s="4">
        <v>34</v>
      </c>
      <c r="AH4" s="4">
        <v>15</v>
      </c>
      <c r="AI4" s="4">
        <v>15</v>
      </c>
      <c r="AJ4" s="4">
        <v>7</v>
      </c>
      <c r="AK4" s="4">
        <v>7</v>
      </c>
      <c r="AL4" s="4">
        <v>14</v>
      </c>
      <c r="AM4" s="4">
        <v>14</v>
      </c>
      <c r="AN4" s="4">
        <v>6</v>
      </c>
      <c r="AO4" s="4">
        <v>6</v>
      </c>
      <c r="AP4" s="4">
        <v>0</v>
      </c>
      <c r="AQ4" s="4">
        <v>0</v>
      </c>
      <c r="AR4" s="3" t="s">
        <v>62</v>
      </c>
      <c r="AS4" s="3" t="s">
        <v>84</v>
      </c>
      <c r="AT4" s="6" t="str">
        <f>HYPERLINK("http://catalog.hathitrust.org/Record/000042488","HathiTrust Record")</f>
        <v>HathiTrust Record</v>
      </c>
      <c r="AU4" s="6" t="str">
        <f>HYPERLINK("https://creighton-primo.hosted.exlibrisgroup.com/primo-explore/search?tab=default_tab&amp;search_scope=EVERYTHING&amp;vid=01CRU&amp;lang=en_US&amp;offset=0&amp;query=any,contains,991003599459702656","Catalog Record")</f>
        <v>Catalog Record</v>
      </c>
      <c r="AV4" s="6" t="str">
        <f>HYPERLINK("http://www.worldcat.org/oclc/1177000","WorldCat Record")</f>
        <v>WorldCat Record</v>
      </c>
      <c r="AW4" s="3" t="s">
        <v>90</v>
      </c>
      <c r="AX4" s="3" t="s">
        <v>91</v>
      </c>
      <c r="AY4" s="3" t="s">
        <v>92</v>
      </c>
      <c r="AZ4" s="3" t="s">
        <v>92</v>
      </c>
      <c r="BA4" s="3" t="s">
        <v>93</v>
      </c>
      <c r="BB4" s="3" t="s">
        <v>77</v>
      </c>
      <c r="BD4" s="3" t="s">
        <v>94</v>
      </c>
      <c r="BE4" s="3" t="s">
        <v>98</v>
      </c>
      <c r="BF4" s="3" t="s">
        <v>99</v>
      </c>
    </row>
    <row r="5" spans="1:58" ht="36.75" customHeight="1" x14ac:dyDescent="0.25">
      <c r="A5" s="7" t="s">
        <v>62</v>
      </c>
      <c r="B5" s="2" t="s">
        <v>57</v>
      </c>
      <c r="C5" s="2" t="s">
        <v>58</v>
      </c>
      <c r="D5" s="2" t="s">
        <v>100</v>
      </c>
      <c r="E5" s="2" t="s">
        <v>101</v>
      </c>
      <c r="F5" s="2" t="s">
        <v>102</v>
      </c>
      <c r="H5" s="3" t="s">
        <v>62</v>
      </c>
      <c r="I5" s="3" t="s">
        <v>63</v>
      </c>
      <c r="J5" s="3" t="s">
        <v>62</v>
      </c>
      <c r="K5" s="3" t="s">
        <v>62</v>
      </c>
      <c r="L5" s="3" t="s">
        <v>64</v>
      </c>
      <c r="M5" s="2" t="s">
        <v>103</v>
      </c>
      <c r="N5" s="2" t="s">
        <v>104</v>
      </c>
      <c r="O5" s="3" t="s">
        <v>105</v>
      </c>
      <c r="Q5" s="3" t="s">
        <v>68</v>
      </c>
      <c r="R5" s="3" t="s">
        <v>106</v>
      </c>
      <c r="T5" s="3" t="s">
        <v>70</v>
      </c>
      <c r="U5" s="4">
        <v>1</v>
      </c>
      <c r="V5" s="4">
        <v>1</v>
      </c>
      <c r="W5" s="5" t="s">
        <v>107</v>
      </c>
      <c r="X5" s="5" t="s">
        <v>107</v>
      </c>
      <c r="Y5" s="5" t="s">
        <v>72</v>
      </c>
      <c r="Z5" s="5" t="s">
        <v>72</v>
      </c>
      <c r="AA5" s="4">
        <v>441</v>
      </c>
      <c r="AB5" s="4">
        <v>388</v>
      </c>
      <c r="AC5" s="4">
        <v>440</v>
      </c>
      <c r="AD5" s="4">
        <v>3</v>
      </c>
      <c r="AE5" s="4">
        <v>3</v>
      </c>
      <c r="AF5" s="4">
        <v>25</v>
      </c>
      <c r="AG5" s="4">
        <v>27</v>
      </c>
      <c r="AH5" s="4">
        <v>10</v>
      </c>
      <c r="AI5" s="4">
        <v>11</v>
      </c>
      <c r="AJ5" s="4">
        <v>6</v>
      </c>
      <c r="AK5" s="4">
        <v>6</v>
      </c>
      <c r="AL5" s="4">
        <v>13</v>
      </c>
      <c r="AM5" s="4">
        <v>14</v>
      </c>
      <c r="AN5" s="4">
        <v>2</v>
      </c>
      <c r="AO5" s="4">
        <v>2</v>
      </c>
      <c r="AP5" s="4">
        <v>0</v>
      </c>
      <c r="AQ5" s="4">
        <v>0</v>
      </c>
      <c r="AR5" s="3" t="s">
        <v>62</v>
      </c>
      <c r="AS5" s="3" t="s">
        <v>84</v>
      </c>
      <c r="AT5" s="6" t="str">
        <f>HYPERLINK("http://catalog.hathitrust.org/Record/000811121","HathiTrust Record")</f>
        <v>HathiTrust Record</v>
      </c>
      <c r="AU5" s="6" t="str">
        <f>HYPERLINK("https://creighton-primo.hosted.exlibrisgroup.com/primo-explore/search?tab=default_tab&amp;search_scope=EVERYTHING&amp;vid=01CRU&amp;lang=en_US&amp;offset=0&amp;query=any,contains,991000918259702656","Catalog Record")</f>
        <v>Catalog Record</v>
      </c>
      <c r="AV5" s="6" t="str">
        <f>HYPERLINK("http://www.worldcat.org/oclc/14188159","WorldCat Record")</f>
        <v>WorldCat Record</v>
      </c>
      <c r="AW5" s="3" t="s">
        <v>108</v>
      </c>
      <c r="AX5" s="3" t="s">
        <v>109</v>
      </c>
      <c r="AY5" s="3" t="s">
        <v>110</v>
      </c>
      <c r="AZ5" s="3" t="s">
        <v>110</v>
      </c>
      <c r="BA5" s="3" t="s">
        <v>111</v>
      </c>
      <c r="BB5" s="3" t="s">
        <v>77</v>
      </c>
      <c r="BD5" s="3" t="s">
        <v>112</v>
      </c>
      <c r="BE5" s="3" t="s">
        <v>113</v>
      </c>
      <c r="BF5" s="3" t="s">
        <v>114</v>
      </c>
    </row>
    <row r="6" spans="1:58" ht="36.75" customHeight="1" x14ac:dyDescent="0.25">
      <c r="A6" s="7" t="s">
        <v>62</v>
      </c>
      <c r="B6" s="2" t="s">
        <v>57</v>
      </c>
      <c r="C6" s="2" t="s">
        <v>58</v>
      </c>
      <c r="D6" s="2" t="s">
        <v>115</v>
      </c>
      <c r="E6" s="2" t="s">
        <v>116</v>
      </c>
      <c r="F6" s="2" t="s">
        <v>117</v>
      </c>
      <c r="H6" s="3" t="s">
        <v>62</v>
      </c>
      <c r="I6" s="3" t="s">
        <v>63</v>
      </c>
      <c r="J6" s="3" t="s">
        <v>62</v>
      </c>
      <c r="K6" s="3" t="s">
        <v>62</v>
      </c>
      <c r="L6" s="3" t="s">
        <v>64</v>
      </c>
      <c r="M6" s="2" t="s">
        <v>118</v>
      </c>
      <c r="N6" s="2" t="s">
        <v>119</v>
      </c>
      <c r="O6" s="3" t="s">
        <v>120</v>
      </c>
      <c r="Q6" s="3" t="s">
        <v>68</v>
      </c>
      <c r="R6" s="3" t="s">
        <v>69</v>
      </c>
      <c r="T6" s="3" t="s">
        <v>70</v>
      </c>
      <c r="U6" s="4">
        <v>6</v>
      </c>
      <c r="V6" s="4">
        <v>6</v>
      </c>
      <c r="W6" s="5" t="s">
        <v>121</v>
      </c>
      <c r="X6" s="5" t="s">
        <v>121</v>
      </c>
      <c r="Y6" s="5" t="s">
        <v>72</v>
      </c>
      <c r="Z6" s="5" t="s">
        <v>72</v>
      </c>
      <c r="AA6" s="4">
        <v>565</v>
      </c>
      <c r="AB6" s="4">
        <v>520</v>
      </c>
      <c r="AC6" s="4">
        <v>525</v>
      </c>
      <c r="AD6" s="4">
        <v>3</v>
      </c>
      <c r="AE6" s="4">
        <v>3</v>
      </c>
      <c r="AF6" s="4">
        <v>16</v>
      </c>
      <c r="AG6" s="4">
        <v>16</v>
      </c>
      <c r="AH6" s="4">
        <v>9</v>
      </c>
      <c r="AI6" s="4">
        <v>9</v>
      </c>
      <c r="AJ6" s="4">
        <v>2</v>
      </c>
      <c r="AK6" s="4">
        <v>2</v>
      </c>
      <c r="AL6" s="4">
        <v>6</v>
      </c>
      <c r="AM6" s="4">
        <v>6</v>
      </c>
      <c r="AN6" s="4">
        <v>2</v>
      </c>
      <c r="AO6" s="4">
        <v>2</v>
      </c>
      <c r="AP6" s="4">
        <v>0</v>
      </c>
      <c r="AQ6" s="4">
        <v>0</v>
      </c>
      <c r="AR6" s="3" t="s">
        <v>62</v>
      </c>
      <c r="AS6" s="3" t="s">
        <v>62</v>
      </c>
      <c r="AU6" s="6" t="str">
        <f>HYPERLINK("https://creighton-primo.hosted.exlibrisgroup.com/primo-explore/search?tab=default_tab&amp;search_scope=EVERYTHING&amp;vid=01CRU&amp;lang=en_US&amp;offset=0&amp;query=any,contains,991003036159702656","Catalog Record")</f>
        <v>Catalog Record</v>
      </c>
      <c r="AV6" s="6" t="str">
        <f>HYPERLINK("http://www.worldcat.org/oclc/599184","WorldCat Record")</f>
        <v>WorldCat Record</v>
      </c>
      <c r="AW6" s="3" t="s">
        <v>122</v>
      </c>
      <c r="AX6" s="3" t="s">
        <v>123</v>
      </c>
      <c r="AY6" s="3" t="s">
        <v>124</v>
      </c>
      <c r="AZ6" s="3" t="s">
        <v>124</v>
      </c>
      <c r="BA6" s="3" t="s">
        <v>125</v>
      </c>
      <c r="BB6" s="3" t="s">
        <v>77</v>
      </c>
      <c r="BE6" s="3" t="s">
        <v>126</v>
      </c>
      <c r="BF6" s="3" t="s">
        <v>127</v>
      </c>
    </row>
    <row r="7" spans="1:58" ht="36.75" customHeight="1" x14ac:dyDescent="0.25">
      <c r="A7" s="7" t="s">
        <v>62</v>
      </c>
      <c r="B7" s="2" t="s">
        <v>57</v>
      </c>
      <c r="C7" s="2" t="s">
        <v>58</v>
      </c>
      <c r="D7" s="2" t="s">
        <v>128</v>
      </c>
      <c r="E7" s="2" t="s">
        <v>129</v>
      </c>
      <c r="F7" s="2" t="s">
        <v>130</v>
      </c>
      <c r="H7" s="3" t="s">
        <v>62</v>
      </c>
      <c r="I7" s="3" t="s">
        <v>63</v>
      </c>
      <c r="J7" s="3" t="s">
        <v>62</v>
      </c>
      <c r="K7" s="3" t="s">
        <v>62</v>
      </c>
      <c r="L7" s="3" t="s">
        <v>64</v>
      </c>
      <c r="M7" s="2" t="s">
        <v>131</v>
      </c>
      <c r="N7" s="2" t="s">
        <v>132</v>
      </c>
      <c r="O7" s="3" t="s">
        <v>120</v>
      </c>
      <c r="Q7" s="3" t="s">
        <v>68</v>
      </c>
      <c r="R7" s="3" t="s">
        <v>69</v>
      </c>
      <c r="T7" s="3" t="s">
        <v>70</v>
      </c>
      <c r="U7" s="4">
        <v>4</v>
      </c>
      <c r="V7" s="4">
        <v>4</v>
      </c>
      <c r="W7" s="5" t="s">
        <v>133</v>
      </c>
      <c r="X7" s="5" t="s">
        <v>133</v>
      </c>
      <c r="Y7" s="5" t="s">
        <v>72</v>
      </c>
      <c r="Z7" s="5" t="s">
        <v>72</v>
      </c>
      <c r="AA7" s="4">
        <v>483</v>
      </c>
      <c r="AB7" s="4">
        <v>431</v>
      </c>
      <c r="AC7" s="4">
        <v>439</v>
      </c>
      <c r="AD7" s="4">
        <v>3</v>
      </c>
      <c r="AE7" s="4">
        <v>3</v>
      </c>
      <c r="AF7" s="4">
        <v>19</v>
      </c>
      <c r="AG7" s="4">
        <v>19</v>
      </c>
      <c r="AH7" s="4">
        <v>8</v>
      </c>
      <c r="AI7" s="4">
        <v>8</v>
      </c>
      <c r="AJ7" s="4">
        <v>6</v>
      </c>
      <c r="AK7" s="4">
        <v>6</v>
      </c>
      <c r="AL7" s="4">
        <v>9</v>
      </c>
      <c r="AM7" s="4">
        <v>9</v>
      </c>
      <c r="AN7" s="4">
        <v>1</v>
      </c>
      <c r="AO7" s="4">
        <v>1</v>
      </c>
      <c r="AP7" s="4">
        <v>0</v>
      </c>
      <c r="AQ7" s="4">
        <v>0</v>
      </c>
      <c r="AR7" s="3" t="s">
        <v>62</v>
      </c>
      <c r="AS7" s="3" t="s">
        <v>84</v>
      </c>
      <c r="AT7" s="6" t="str">
        <f>HYPERLINK("http://catalog.hathitrust.org/Record/001399095","HathiTrust Record")</f>
        <v>HathiTrust Record</v>
      </c>
      <c r="AU7" s="6" t="str">
        <f>HYPERLINK("https://creighton-primo.hosted.exlibrisgroup.com/primo-explore/search?tab=default_tab&amp;search_scope=EVERYTHING&amp;vid=01CRU&amp;lang=en_US&amp;offset=0&amp;query=any,contains,991001919539702656","Catalog Record")</f>
        <v>Catalog Record</v>
      </c>
      <c r="AV7" s="6" t="str">
        <f>HYPERLINK("http://www.worldcat.org/oclc/244607","WorldCat Record")</f>
        <v>WorldCat Record</v>
      </c>
      <c r="AW7" s="3" t="s">
        <v>134</v>
      </c>
      <c r="AX7" s="3" t="s">
        <v>135</v>
      </c>
      <c r="AY7" s="3" t="s">
        <v>136</v>
      </c>
      <c r="AZ7" s="3" t="s">
        <v>136</v>
      </c>
      <c r="BA7" s="3" t="s">
        <v>137</v>
      </c>
      <c r="BB7" s="3" t="s">
        <v>77</v>
      </c>
      <c r="BE7" s="3" t="s">
        <v>138</v>
      </c>
      <c r="BF7" s="3" t="s">
        <v>139</v>
      </c>
    </row>
    <row r="8" spans="1:58" ht="36.75" customHeight="1" x14ac:dyDescent="0.25">
      <c r="A8" s="7" t="s">
        <v>62</v>
      </c>
      <c r="B8" s="2" t="s">
        <v>57</v>
      </c>
      <c r="C8" s="2" t="s">
        <v>58</v>
      </c>
      <c r="D8" s="2" t="s">
        <v>140</v>
      </c>
      <c r="E8" s="2" t="s">
        <v>141</v>
      </c>
      <c r="F8" s="2" t="s">
        <v>142</v>
      </c>
      <c r="H8" s="3" t="s">
        <v>62</v>
      </c>
      <c r="I8" s="3" t="s">
        <v>63</v>
      </c>
      <c r="J8" s="3" t="s">
        <v>62</v>
      </c>
      <c r="K8" s="3" t="s">
        <v>62</v>
      </c>
      <c r="L8" s="3" t="s">
        <v>64</v>
      </c>
      <c r="M8" s="2" t="s">
        <v>143</v>
      </c>
      <c r="N8" s="2" t="s">
        <v>144</v>
      </c>
      <c r="O8" s="3" t="s">
        <v>145</v>
      </c>
      <c r="Q8" s="3" t="s">
        <v>68</v>
      </c>
      <c r="R8" s="3" t="s">
        <v>146</v>
      </c>
      <c r="T8" s="3" t="s">
        <v>70</v>
      </c>
      <c r="U8" s="4">
        <v>2</v>
      </c>
      <c r="V8" s="4">
        <v>2</v>
      </c>
      <c r="W8" s="5" t="s">
        <v>147</v>
      </c>
      <c r="X8" s="5" t="s">
        <v>147</v>
      </c>
      <c r="Y8" s="5" t="s">
        <v>148</v>
      </c>
      <c r="Z8" s="5" t="s">
        <v>148</v>
      </c>
      <c r="AA8" s="4">
        <v>181</v>
      </c>
      <c r="AB8" s="4">
        <v>171</v>
      </c>
      <c r="AC8" s="4">
        <v>171</v>
      </c>
      <c r="AD8" s="4">
        <v>2</v>
      </c>
      <c r="AE8" s="4">
        <v>2</v>
      </c>
      <c r="AF8" s="4">
        <v>11</v>
      </c>
      <c r="AG8" s="4">
        <v>11</v>
      </c>
      <c r="AH8" s="4">
        <v>4</v>
      </c>
      <c r="AI8" s="4">
        <v>4</v>
      </c>
      <c r="AJ8" s="4">
        <v>3</v>
      </c>
      <c r="AK8" s="4">
        <v>3</v>
      </c>
      <c r="AL8" s="4">
        <v>4</v>
      </c>
      <c r="AM8" s="4">
        <v>4</v>
      </c>
      <c r="AN8" s="4">
        <v>1</v>
      </c>
      <c r="AO8" s="4">
        <v>1</v>
      </c>
      <c r="AP8" s="4">
        <v>0</v>
      </c>
      <c r="AQ8" s="4">
        <v>0</v>
      </c>
      <c r="AR8" s="3" t="s">
        <v>62</v>
      </c>
      <c r="AS8" s="3" t="s">
        <v>62</v>
      </c>
      <c r="AU8" s="6" t="str">
        <f>HYPERLINK("https://creighton-primo.hosted.exlibrisgroup.com/primo-explore/search?tab=default_tab&amp;search_scope=EVERYTHING&amp;vid=01CRU&amp;lang=en_US&amp;offset=0&amp;query=any,contains,991002368039702656","Catalog Record")</f>
        <v>Catalog Record</v>
      </c>
      <c r="AV8" s="6" t="str">
        <f>HYPERLINK("http://www.worldcat.org/oclc/30780290","WorldCat Record")</f>
        <v>WorldCat Record</v>
      </c>
      <c r="AW8" s="3" t="s">
        <v>149</v>
      </c>
      <c r="AX8" s="3" t="s">
        <v>150</v>
      </c>
      <c r="AY8" s="3" t="s">
        <v>151</v>
      </c>
      <c r="AZ8" s="3" t="s">
        <v>151</v>
      </c>
      <c r="BA8" s="3" t="s">
        <v>152</v>
      </c>
      <c r="BB8" s="3" t="s">
        <v>77</v>
      </c>
      <c r="BD8" s="3" t="s">
        <v>153</v>
      </c>
      <c r="BE8" s="3" t="s">
        <v>154</v>
      </c>
      <c r="BF8" s="3" t="s">
        <v>155</v>
      </c>
    </row>
    <row r="9" spans="1:58" ht="36.75" customHeight="1" x14ac:dyDescent="0.25">
      <c r="A9" s="7" t="s">
        <v>62</v>
      </c>
      <c r="B9" s="2" t="s">
        <v>57</v>
      </c>
      <c r="C9" s="2" t="s">
        <v>58</v>
      </c>
      <c r="D9" s="2" t="s">
        <v>156</v>
      </c>
      <c r="E9" s="2" t="s">
        <v>157</v>
      </c>
      <c r="F9" s="2" t="s">
        <v>158</v>
      </c>
      <c r="H9" s="3" t="s">
        <v>62</v>
      </c>
      <c r="I9" s="3" t="s">
        <v>63</v>
      </c>
      <c r="J9" s="3" t="s">
        <v>62</v>
      </c>
      <c r="K9" s="3" t="s">
        <v>62</v>
      </c>
      <c r="L9" s="3" t="s">
        <v>64</v>
      </c>
      <c r="M9" s="2" t="s">
        <v>159</v>
      </c>
      <c r="N9" s="2" t="s">
        <v>160</v>
      </c>
      <c r="O9" s="3" t="s">
        <v>161</v>
      </c>
      <c r="Q9" s="3" t="s">
        <v>68</v>
      </c>
      <c r="R9" s="3" t="s">
        <v>162</v>
      </c>
      <c r="T9" s="3" t="s">
        <v>70</v>
      </c>
      <c r="U9" s="4">
        <v>3</v>
      </c>
      <c r="V9" s="4">
        <v>3</v>
      </c>
      <c r="W9" s="5" t="s">
        <v>163</v>
      </c>
      <c r="X9" s="5" t="s">
        <v>163</v>
      </c>
      <c r="Y9" s="5" t="s">
        <v>72</v>
      </c>
      <c r="Z9" s="5" t="s">
        <v>72</v>
      </c>
      <c r="AA9" s="4">
        <v>793</v>
      </c>
      <c r="AB9" s="4">
        <v>714</v>
      </c>
      <c r="AC9" s="4">
        <v>732</v>
      </c>
      <c r="AD9" s="4">
        <v>6</v>
      </c>
      <c r="AE9" s="4">
        <v>6</v>
      </c>
      <c r="AF9" s="4">
        <v>36</v>
      </c>
      <c r="AG9" s="4">
        <v>36</v>
      </c>
      <c r="AH9" s="4">
        <v>14</v>
      </c>
      <c r="AI9" s="4">
        <v>14</v>
      </c>
      <c r="AJ9" s="4">
        <v>6</v>
      </c>
      <c r="AK9" s="4">
        <v>6</v>
      </c>
      <c r="AL9" s="4">
        <v>20</v>
      </c>
      <c r="AM9" s="4">
        <v>20</v>
      </c>
      <c r="AN9" s="4">
        <v>5</v>
      </c>
      <c r="AO9" s="4">
        <v>5</v>
      </c>
      <c r="AP9" s="4">
        <v>0</v>
      </c>
      <c r="AQ9" s="4">
        <v>0</v>
      </c>
      <c r="AR9" s="3" t="s">
        <v>62</v>
      </c>
      <c r="AS9" s="3" t="s">
        <v>84</v>
      </c>
      <c r="AT9" s="6" t="str">
        <f>HYPERLINK("http://catalog.hathitrust.org/Record/001401776","HathiTrust Record")</f>
        <v>HathiTrust Record</v>
      </c>
      <c r="AU9" s="6" t="str">
        <f>HYPERLINK("https://creighton-primo.hosted.exlibrisgroup.com/primo-explore/search?tab=default_tab&amp;search_scope=EVERYTHING&amp;vid=01CRU&amp;lang=en_US&amp;offset=0&amp;query=any,contains,991002247729702656","Catalog Record")</f>
        <v>Catalog Record</v>
      </c>
      <c r="AV9" s="6" t="str">
        <f>HYPERLINK("http://www.worldcat.org/oclc/297784","WorldCat Record")</f>
        <v>WorldCat Record</v>
      </c>
      <c r="AW9" s="3" t="s">
        <v>164</v>
      </c>
      <c r="AX9" s="3" t="s">
        <v>165</v>
      </c>
      <c r="AY9" s="3" t="s">
        <v>166</v>
      </c>
      <c r="AZ9" s="3" t="s">
        <v>166</v>
      </c>
      <c r="BA9" s="3" t="s">
        <v>167</v>
      </c>
      <c r="BB9" s="3" t="s">
        <v>77</v>
      </c>
      <c r="BD9" s="3" t="s">
        <v>168</v>
      </c>
      <c r="BE9" s="3" t="s">
        <v>169</v>
      </c>
      <c r="BF9" s="3" t="s">
        <v>170</v>
      </c>
    </row>
    <row r="10" spans="1:58" ht="36.75" customHeight="1" x14ac:dyDescent="0.25">
      <c r="A10" s="7" t="s">
        <v>62</v>
      </c>
      <c r="B10" s="2" t="s">
        <v>57</v>
      </c>
      <c r="C10" s="2" t="s">
        <v>58</v>
      </c>
      <c r="D10" s="2" t="s">
        <v>171</v>
      </c>
      <c r="E10" s="2" t="s">
        <v>172</v>
      </c>
      <c r="F10" s="2" t="s">
        <v>173</v>
      </c>
      <c r="H10" s="3" t="s">
        <v>62</v>
      </c>
      <c r="I10" s="3" t="s">
        <v>63</v>
      </c>
      <c r="J10" s="3" t="s">
        <v>62</v>
      </c>
      <c r="K10" s="3" t="s">
        <v>62</v>
      </c>
      <c r="L10" s="3" t="s">
        <v>64</v>
      </c>
      <c r="M10" s="2" t="s">
        <v>174</v>
      </c>
      <c r="N10" s="2" t="s">
        <v>175</v>
      </c>
      <c r="O10" s="3" t="s">
        <v>176</v>
      </c>
      <c r="Q10" s="3" t="s">
        <v>68</v>
      </c>
      <c r="R10" s="3" t="s">
        <v>87</v>
      </c>
      <c r="T10" s="3" t="s">
        <v>70</v>
      </c>
      <c r="U10" s="4">
        <v>2</v>
      </c>
      <c r="V10" s="4">
        <v>2</v>
      </c>
      <c r="W10" s="5" t="s">
        <v>177</v>
      </c>
      <c r="X10" s="5" t="s">
        <v>177</v>
      </c>
      <c r="Y10" s="5" t="s">
        <v>72</v>
      </c>
      <c r="Z10" s="5" t="s">
        <v>72</v>
      </c>
      <c r="AA10" s="4">
        <v>85</v>
      </c>
      <c r="AB10" s="4">
        <v>77</v>
      </c>
      <c r="AC10" s="4">
        <v>584</v>
      </c>
      <c r="AD10" s="4">
        <v>2</v>
      </c>
      <c r="AE10" s="4">
        <v>6</v>
      </c>
      <c r="AF10" s="4">
        <v>4</v>
      </c>
      <c r="AG10" s="4">
        <v>22</v>
      </c>
      <c r="AH10" s="4">
        <v>2</v>
      </c>
      <c r="AI10" s="4">
        <v>7</v>
      </c>
      <c r="AJ10" s="4">
        <v>1</v>
      </c>
      <c r="AK10" s="4">
        <v>6</v>
      </c>
      <c r="AL10" s="4">
        <v>1</v>
      </c>
      <c r="AM10" s="4">
        <v>10</v>
      </c>
      <c r="AN10" s="4">
        <v>1</v>
      </c>
      <c r="AO10" s="4">
        <v>4</v>
      </c>
      <c r="AP10" s="4">
        <v>0</v>
      </c>
      <c r="AQ10" s="4">
        <v>0</v>
      </c>
      <c r="AR10" s="3" t="s">
        <v>62</v>
      </c>
      <c r="AS10" s="3" t="s">
        <v>84</v>
      </c>
      <c r="AT10" s="6" t="str">
        <f>HYPERLINK("http://catalog.hathitrust.org/Record/004507087","HathiTrust Record")</f>
        <v>HathiTrust Record</v>
      </c>
      <c r="AU10" s="6" t="str">
        <f>HYPERLINK("https://creighton-primo.hosted.exlibrisgroup.com/primo-explore/search?tab=default_tab&amp;search_scope=EVERYTHING&amp;vid=01CRU&amp;lang=en_US&amp;offset=0&amp;query=any,contains,991004100769702656","Catalog Record")</f>
        <v>Catalog Record</v>
      </c>
      <c r="AV10" s="6" t="str">
        <f>HYPERLINK("http://www.worldcat.org/oclc/2372221","WorldCat Record")</f>
        <v>WorldCat Record</v>
      </c>
      <c r="AW10" s="3" t="s">
        <v>178</v>
      </c>
      <c r="AX10" s="3" t="s">
        <v>179</v>
      </c>
      <c r="AY10" s="3" t="s">
        <v>180</v>
      </c>
      <c r="AZ10" s="3" t="s">
        <v>180</v>
      </c>
      <c r="BA10" s="3" t="s">
        <v>181</v>
      </c>
      <c r="BB10" s="3" t="s">
        <v>77</v>
      </c>
      <c r="BD10" s="3" t="s">
        <v>182</v>
      </c>
      <c r="BE10" s="3" t="s">
        <v>183</v>
      </c>
      <c r="BF10" s="3" t="s">
        <v>184</v>
      </c>
    </row>
    <row r="11" spans="1:58" ht="36.75" customHeight="1" x14ac:dyDescent="0.25">
      <c r="A11" s="7" t="s">
        <v>62</v>
      </c>
      <c r="B11" s="2" t="s">
        <v>57</v>
      </c>
      <c r="C11" s="2" t="s">
        <v>58</v>
      </c>
      <c r="D11" s="2" t="s">
        <v>185</v>
      </c>
      <c r="E11" s="2" t="s">
        <v>186</v>
      </c>
      <c r="F11" s="2" t="s">
        <v>187</v>
      </c>
      <c r="H11" s="3" t="s">
        <v>62</v>
      </c>
      <c r="I11" s="3" t="s">
        <v>63</v>
      </c>
      <c r="J11" s="3" t="s">
        <v>62</v>
      </c>
      <c r="K11" s="3" t="s">
        <v>62</v>
      </c>
      <c r="L11" s="3" t="s">
        <v>64</v>
      </c>
      <c r="M11" s="2" t="s">
        <v>188</v>
      </c>
      <c r="N11" s="2" t="s">
        <v>189</v>
      </c>
      <c r="O11" s="3" t="s">
        <v>190</v>
      </c>
      <c r="Q11" s="3" t="s">
        <v>68</v>
      </c>
      <c r="R11" s="3" t="s">
        <v>69</v>
      </c>
      <c r="S11" s="2" t="s">
        <v>191</v>
      </c>
      <c r="T11" s="3" t="s">
        <v>70</v>
      </c>
      <c r="U11" s="4">
        <v>1</v>
      </c>
      <c r="V11" s="4">
        <v>1</v>
      </c>
      <c r="W11" s="5" t="s">
        <v>177</v>
      </c>
      <c r="X11" s="5" t="s">
        <v>177</v>
      </c>
      <c r="Y11" s="5" t="s">
        <v>72</v>
      </c>
      <c r="Z11" s="5" t="s">
        <v>72</v>
      </c>
      <c r="AA11" s="4">
        <v>572</v>
      </c>
      <c r="AB11" s="4">
        <v>512</v>
      </c>
      <c r="AC11" s="4">
        <v>882</v>
      </c>
      <c r="AD11" s="4">
        <v>3</v>
      </c>
      <c r="AE11" s="4">
        <v>7</v>
      </c>
      <c r="AF11" s="4">
        <v>25</v>
      </c>
      <c r="AG11" s="4">
        <v>40</v>
      </c>
      <c r="AH11" s="4">
        <v>9</v>
      </c>
      <c r="AI11" s="4">
        <v>17</v>
      </c>
      <c r="AJ11" s="4">
        <v>5</v>
      </c>
      <c r="AK11" s="4">
        <v>7</v>
      </c>
      <c r="AL11" s="4">
        <v>14</v>
      </c>
      <c r="AM11" s="4">
        <v>19</v>
      </c>
      <c r="AN11" s="4">
        <v>2</v>
      </c>
      <c r="AO11" s="4">
        <v>5</v>
      </c>
      <c r="AP11" s="4">
        <v>0</v>
      </c>
      <c r="AQ11" s="4">
        <v>1</v>
      </c>
      <c r="AR11" s="3" t="s">
        <v>62</v>
      </c>
      <c r="AS11" s="3" t="s">
        <v>84</v>
      </c>
      <c r="AT11" s="6" t="str">
        <f>HYPERLINK("http://catalog.hathitrust.org/Record/001401790","HathiTrust Record")</f>
        <v>HathiTrust Record</v>
      </c>
      <c r="AU11" s="6" t="str">
        <f>HYPERLINK("https://creighton-primo.hosted.exlibrisgroup.com/primo-explore/search?tab=default_tab&amp;search_scope=EVERYTHING&amp;vid=01CRU&amp;lang=en_US&amp;offset=0&amp;query=any,contains,991002603949702656","Catalog Record")</f>
        <v>Catalog Record</v>
      </c>
      <c r="AV11" s="6" t="str">
        <f>HYPERLINK("http://www.worldcat.org/oclc/575315","WorldCat Record")</f>
        <v>WorldCat Record</v>
      </c>
      <c r="AW11" s="3" t="s">
        <v>192</v>
      </c>
      <c r="AX11" s="3" t="s">
        <v>193</v>
      </c>
      <c r="AY11" s="3" t="s">
        <v>194</v>
      </c>
      <c r="AZ11" s="3" t="s">
        <v>194</v>
      </c>
      <c r="BA11" s="3" t="s">
        <v>195</v>
      </c>
      <c r="BB11" s="3" t="s">
        <v>77</v>
      </c>
      <c r="BE11" s="3" t="s">
        <v>196</v>
      </c>
      <c r="BF11" s="3" t="s">
        <v>197</v>
      </c>
    </row>
    <row r="12" spans="1:58" ht="36.75" customHeight="1" x14ac:dyDescent="0.25">
      <c r="A12" s="7" t="s">
        <v>62</v>
      </c>
      <c r="B12" s="2" t="s">
        <v>57</v>
      </c>
      <c r="C12" s="2" t="s">
        <v>58</v>
      </c>
      <c r="D12" s="2" t="s">
        <v>198</v>
      </c>
      <c r="E12" s="2" t="s">
        <v>199</v>
      </c>
      <c r="F12" s="2" t="s">
        <v>200</v>
      </c>
      <c r="H12" s="3" t="s">
        <v>62</v>
      </c>
      <c r="I12" s="3" t="s">
        <v>63</v>
      </c>
      <c r="J12" s="3" t="s">
        <v>62</v>
      </c>
      <c r="K12" s="3" t="s">
        <v>62</v>
      </c>
      <c r="L12" s="3" t="s">
        <v>64</v>
      </c>
      <c r="M12" s="2" t="s">
        <v>201</v>
      </c>
      <c r="N12" s="2" t="s">
        <v>202</v>
      </c>
      <c r="O12" s="3" t="s">
        <v>67</v>
      </c>
      <c r="Q12" s="3" t="s">
        <v>68</v>
      </c>
      <c r="R12" s="3" t="s">
        <v>203</v>
      </c>
      <c r="S12" s="2" t="s">
        <v>204</v>
      </c>
      <c r="T12" s="3" t="s">
        <v>70</v>
      </c>
      <c r="U12" s="4">
        <v>0</v>
      </c>
      <c r="V12" s="4">
        <v>0</v>
      </c>
      <c r="W12" s="5" t="s">
        <v>205</v>
      </c>
      <c r="X12" s="5" t="s">
        <v>205</v>
      </c>
      <c r="Y12" s="5" t="s">
        <v>72</v>
      </c>
      <c r="Z12" s="5" t="s">
        <v>72</v>
      </c>
      <c r="AA12" s="4">
        <v>153</v>
      </c>
      <c r="AB12" s="4">
        <v>116</v>
      </c>
      <c r="AC12" s="4">
        <v>118</v>
      </c>
      <c r="AD12" s="4">
        <v>1</v>
      </c>
      <c r="AE12" s="4">
        <v>1</v>
      </c>
      <c r="AF12" s="4">
        <v>9</v>
      </c>
      <c r="AG12" s="4">
        <v>9</v>
      </c>
      <c r="AH12" s="4">
        <v>3</v>
      </c>
      <c r="AI12" s="4">
        <v>3</v>
      </c>
      <c r="AJ12" s="4">
        <v>2</v>
      </c>
      <c r="AK12" s="4">
        <v>2</v>
      </c>
      <c r="AL12" s="4">
        <v>7</v>
      </c>
      <c r="AM12" s="4">
        <v>7</v>
      </c>
      <c r="AN12" s="4">
        <v>0</v>
      </c>
      <c r="AO12" s="4">
        <v>0</v>
      </c>
      <c r="AP12" s="4">
        <v>0</v>
      </c>
      <c r="AQ12" s="4">
        <v>0</v>
      </c>
      <c r="AR12" s="3" t="s">
        <v>62</v>
      </c>
      <c r="AS12" s="3" t="s">
        <v>84</v>
      </c>
      <c r="AT12" s="6" t="str">
        <f>HYPERLINK("http://catalog.hathitrust.org/Record/000751470","HathiTrust Record")</f>
        <v>HathiTrust Record</v>
      </c>
      <c r="AU12" s="6" t="str">
        <f>HYPERLINK("https://creighton-primo.hosted.exlibrisgroup.com/primo-explore/search?tab=default_tab&amp;search_scope=EVERYTHING&amp;vid=01CRU&amp;lang=en_US&amp;offset=0&amp;query=any,contains,991004426479702656","Catalog Record")</f>
        <v>Catalog Record</v>
      </c>
      <c r="AV12" s="6" t="str">
        <f>HYPERLINK("http://www.worldcat.org/oclc/13610178","WorldCat Record")</f>
        <v>WorldCat Record</v>
      </c>
      <c r="AW12" s="3" t="s">
        <v>206</v>
      </c>
      <c r="AX12" s="3" t="s">
        <v>207</v>
      </c>
      <c r="AY12" s="3" t="s">
        <v>208</v>
      </c>
      <c r="AZ12" s="3" t="s">
        <v>208</v>
      </c>
      <c r="BA12" s="3" t="s">
        <v>209</v>
      </c>
      <c r="BB12" s="3" t="s">
        <v>77</v>
      </c>
      <c r="BE12" s="3" t="s">
        <v>210</v>
      </c>
      <c r="BF12" s="3" t="s">
        <v>211</v>
      </c>
    </row>
    <row r="13" spans="1:58" ht="36.75" customHeight="1" x14ac:dyDescent="0.25">
      <c r="A13" s="7" t="s">
        <v>62</v>
      </c>
      <c r="B13" s="2" t="s">
        <v>57</v>
      </c>
      <c r="C13" s="2" t="s">
        <v>58</v>
      </c>
      <c r="D13" s="2" t="s">
        <v>212</v>
      </c>
      <c r="E13" s="2" t="s">
        <v>213</v>
      </c>
      <c r="F13" s="2" t="s">
        <v>214</v>
      </c>
      <c r="H13" s="3" t="s">
        <v>62</v>
      </c>
      <c r="I13" s="3" t="s">
        <v>63</v>
      </c>
      <c r="J13" s="3" t="s">
        <v>62</v>
      </c>
      <c r="K13" s="3" t="s">
        <v>62</v>
      </c>
      <c r="L13" s="3" t="s">
        <v>64</v>
      </c>
      <c r="M13" s="2" t="s">
        <v>215</v>
      </c>
      <c r="N13" s="2" t="s">
        <v>216</v>
      </c>
      <c r="O13" s="3" t="s">
        <v>67</v>
      </c>
      <c r="Q13" s="3" t="s">
        <v>68</v>
      </c>
      <c r="R13" s="3" t="s">
        <v>87</v>
      </c>
      <c r="T13" s="3" t="s">
        <v>70</v>
      </c>
      <c r="U13" s="4">
        <v>1</v>
      </c>
      <c r="V13" s="4">
        <v>1</v>
      </c>
      <c r="W13" s="5" t="s">
        <v>217</v>
      </c>
      <c r="X13" s="5" t="s">
        <v>217</v>
      </c>
      <c r="Y13" s="5" t="s">
        <v>72</v>
      </c>
      <c r="Z13" s="5" t="s">
        <v>72</v>
      </c>
      <c r="AA13" s="4">
        <v>364</v>
      </c>
      <c r="AB13" s="4">
        <v>325</v>
      </c>
      <c r="AC13" s="4">
        <v>344</v>
      </c>
      <c r="AD13" s="4">
        <v>3</v>
      </c>
      <c r="AE13" s="4">
        <v>3</v>
      </c>
      <c r="AF13" s="4">
        <v>30</v>
      </c>
      <c r="AG13" s="4">
        <v>31</v>
      </c>
      <c r="AH13" s="4">
        <v>9</v>
      </c>
      <c r="AI13" s="4">
        <v>10</v>
      </c>
      <c r="AJ13" s="4">
        <v>7</v>
      </c>
      <c r="AK13" s="4">
        <v>8</v>
      </c>
      <c r="AL13" s="4">
        <v>22</v>
      </c>
      <c r="AM13" s="4">
        <v>22</v>
      </c>
      <c r="AN13" s="4">
        <v>1</v>
      </c>
      <c r="AO13" s="4">
        <v>1</v>
      </c>
      <c r="AP13" s="4">
        <v>0</v>
      </c>
      <c r="AQ13" s="4">
        <v>0</v>
      </c>
      <c r="AR13" s="3" t="s">
        <v>62</v>
      </c>
      <c r="AS13" s="3" t="s">
        <v>62</v>
      </c>
      <c r="AU13" s="6" t="str">
        <f>HYPERLINK("https://creighton-primo.hosted.exlibrisgroup.com/primo-explore/search?tab=default_tab&amp;search_scope=EVERYTHING&amp;vid=01CRU&amp;lang=en_US&amp;offset=0&amp;query=any,contains,991002665689702656","Catalog Record")</f>
        <v>Catalog Record</v>
      </c>
      <c r="AV13" s="6" t="str">
        <f>HYPERLINK("http://www.worldcat.org/oclc/393107","WorldCat Record")</f>
        <v>WorldCat Record</v>
      </c>
      <c r="AW13" s="3" t="s">
        <v>218</v>
      </c>
      <c r="AX13" s="3" t="s">
        <v>219</v>
      </c>
      <c r="AY13" s="3" t="s">
        <v>220</v>
      </c>
      <c r="AZ13" s="3" t="s">
        <v>220</v>
      </c>
      <c r="BA13" s="3" t="s">
        <v>221</v>
      </c>
      <c r="BB13" s="3" t="s">
        <v>77</v>
      </c>
      <c r="BE13" s="3" t="s">
        <v>222</v>
      </c>
      <c r="BF13" s="3" t="s">
        <v>223</v>
      </c>
    </row>
    <row r="14" spans="1:58" ht="36.75" customHeight="1" x14ac:dyDescent="0.25">
      <c r="A14" s="7" t="s">
        <v>62</v>
      </c>
      <c r="B14" s="2" t="s">
        <v>57</v>
      </c>
      <c r="C14" s="2" t="s">
        <v>58</v>
      </c>
      <c r="D14" s="2" t="s">
        <v>224</v>
      </c>
      <c r="E14" s="2" t="s">
        <v>225</v>
      </c>
      <c r="F14" s="2" t="s">
        <v>226</v>
      </c>
      <c r="H14" s="3" t="s">
        <v>62</v>
      </c>
      <c r="I14" s="3" t="s">
        <v>63</v>
      </c>
      <c r="J14" s="3" t="s">
        <v>62</v>
      </c>
      <c r="K14" s="3" t="s">
        <v>62</v>
      </c>
      <c r="L14" s="3" t="s">
        <v>64</v>
      </c>
      <c r="M14" s="2" t="s">
        <v>227</v>
      </c>
      <c r="N14" s="2" t="s">
        <v>228</v>
      </c>
      <c r="O14" s="3" t="s">
        <v>67</v>
      </c>
      <c r="Q14" s="3" t="s">
        <v>68</v>
      </c>
      <c r="R14" s="3" t="s">
        <v>229</v>
      </c>
      <c r="T14" s="3" t="s">
        <v>70</v>
      </c>
      <c r="U14" s="4">
        <v>3</v>
      </c>
      <c r="V14" s="4">
        <v>3</v>
      </c>
      <c r="W14" s="5" t="s">
        <v>230</v>
      </c>
      <c r="X14" s="5" t="s">
        <v>230</v>
      </c>
      <c r="Y14" s="5" t="s">
        <v>72</v>
      </c>
      <c r="Z14" s="5" t="s">
        <v>72</v>
      </c>
      <c r="AA14" s="4">
        <v>669</v>
      </c>
      <c r="AB14" s="4">
        <v>599</v>
      </c>
      <c r="AC14" s="4">
        <v>693</v>
      </c>
      <c r="AD14" s="4">
        <v>6</v>
      </c>
      <c r="AE14" s="4">
        <v>6</v>
      </c>
      <c r="AF14" s="4">
        <v>33</v>
      </c>
      <c r="AG14" s="4">
        <v>35</v>
      </c>
      <c r="AH14" s="4">
        <v>15</v>
      </c>
      <c r="AI14" s="4">
        <v>15</v>
      </c>
      <c r="AJ14" s="4">
        <v>6</v>
      </c>
      <c r="AK14" s="4">
        <v>7</v>
      </c>
      <c r="AL14" s="4">
        <v>18</v>
      </c>
      <c r="AM14" s="4">
        <v>20</v>
      </c>
      <c r="AN14" s="4">
        <v>3</v>
      </c>
      <c r="AO14" s="4">
        <v>3</v>
      </c>
      <c r="AP14" s="4">
        <v>0</v>
      </c>
      <c r="AQ14" s="4">
        <v>0</v>
      </c>
      <c r="AR14" s="3" t="s">
        <v>62</v>
      </c>
      <c r="AS14" s="3" t="s">
        <v>62</v>
      </c>
      <c r="AU14" s="6" t="str">
        <f>HYPERLINK("https://creighton-primo.hosted.exlibrisgroup.com/primo-explore/search?tab=default_tab&amp;search_scope=EVERYTHING&amp;vid=01CRU&amp;lang=en_US&amp;offset=0&amp;query=any,contains,991002398189702656","Catalog Record")</f>
        <v>Catalog Record</v>
      </c>
      <c r="AV14" s="6" t="str">
        <f>HYPERLINK("http://www.worldcat.org/oclc/335538","WorldCat Record")</f>
        <v>WorldCat Record</v>
      </c>
      <c r="AW14" s="3" t="s">
        <v>231</v>
      </c>
      <c r="AX14" s="3" t="s">
        <v>232</v>
      </c>
      <c r="AY14" s="3" t="s">
        <v>233</v>
      </c>
      <c r="AZ14" s="3" t="s">
        <v>233</v>
      </c>
      <c r="BA14" s="3" t="s">
        <v>234</v>
      </c>
      <c r="BB14" s="3" t="s">
        <v>77</v>
      </c>
      <c r="BE14" s="3" t="s">
        <v>235</v>
      </c>
      <c r="BF14" s="3" t="s">
        <v>236</v>
      </c>
    </row>
    <row r="15" spans="1:58" ht="36.75" customHeight="1" x14ac:dyDescent="0.25">
      <c r="A15" s="7" t="s">
        <v>62</v>
      </c>
      <c r="B15" s="2" t="s">
        <v>57</v>
      </c>
      <c r="C15" s="2" t="s">
        <v>58</v>
      </c>
      <c r="D15" s="2" t="s">
        <v>237</v>
      </c>
      <c r="E15" s="2" t="s">
        <v>238</v>
      </c>
      <c r="F15" s="2" t="s">
        <v>239</v>
      </c>
      <c r="G15" s="3" t="s">
        <v>240</v>
      </c>
      <c r="H15" s="3" t="s">
        <v>84</v>
      </c>
      <c r="I15" s="3" t="s">
        <v>63</v>
      </c>
      <c r="J15" s="3" t="s">
        <v>62</v>
      </c>
      <c r="K15" s="3" t="s">
        <v>62</v>
      </c>
      <c r="L15" s="3" t="s">
        <v>64</v>
      </c>
      <c r="M15" s="2" t="s">
        <v>241</v>
      </c>
      <c r="N15" s="2" t="s">
        <v>242</v>
      </c>
      <c r="O15" s="3" t="s">
        <v>243</v>
      </c>
      <c r="Q15" s="3" t="s">
        <v>68</v>
      </c>
      <c r="R15" s="3" t="s">
        <v>229</v>
      </c>
      <c r="S15" s="2" t="s">
        <v>244</v>
      </c>
      <c r="T15" s="3" t="s">
        <v>70</v>
      </c>
      <c r="U15" s="4">
        <v>2</v>
      </c>
      <c r="V15" s="4">
        <v>5</v>
      </c>
      <c r="W15" s="5" t="s">
        <v>245</v>
      </c>
      <c r="X15" s="5" t="s">
        <v>246</v>
      </c>
      <c r="Y15" s="5" t="s">
        <v>72</v>
      </c>
      <c r="Z15" s="5" t="s">
        <v>72</v>
      </c>
      <c r="AA15" s="4">
        <v>223</v>
      </c>
      <c r="AB15" s="4">
        <v>193</v>
      </c>
      <c r="AC15" s="4">
        <v>200</v>
      </c>
      <c r="AD15" s="4">
        <v>1</v>
      </c>
      <c r="AE15" s="4">
        <v>1</v>
      </c>
      <c r="AF15" s="4">
        <v>10</v>
      </c>
      <c r="AG15" s="4">
        <v>10</v>
      </c>
      <c r="AH15" s="4">
        <v>4</v>
      </c>
      <c r="AI15" s="4">
        <v>4</v>
      </c>
      <c r="AJ15" s="4">
        <v>5</v>
      </c>
      <c r="AK15" s="4">
        <v>5</v>
      </c>
      <c r="AL15" s="4">
        <v>5</v>
      </c>
      <c r="AM15" s="4">
        <v>5</v>
      </c>
      <c r="AN15" s="4">
        <v>0</v>
      </c>
      <c r="AO15" s="4">
        <v>0</v>
      </c>
      <c r="AP15" s="4">
        <v>0</v>
      </c>
      <c r="AQ15" s="4">
        <v>0</v>
      </c>
      <c r="AR15" s="3" t="s">
        <v>62</v>
      </c>
      <c r="AS15" s="3" t="s">
        <v>84</v>
      </c>
      <c r="AT15" s="6" t="str">
        <f>HYPERLINK("http://catalog.hathitrust.org/Record/000030146","HathiTrust Record")</f>
        <v>HathiTrust Record</v>
      </c>
      <c r="AU15" s="6" t="str">
        <f>HYPERLINK("https://creighton-primo.hosted.exlibrisgroup.com/primo-explore/search?tab=default_tab&amp;search_scope=EVERYTHING&amp;vid=01CRU&amp;lang=en_US&amp;offset=0&amp;query=any,contains,991004832399702656","Catalog Record")</f>
        <v>Catalog Record</v>
      </c>
      <c r="AV15" s="6" t="str">
        <f>HYPERLINK("http://www.worldcat.org/oclc/5412564","WorldCat Record")</f>
        <v>WorldCat Record</v>
      </c>
      <c r="AW15" s="3" t="s">
        <v>247</v>
      </c>
      <c r="AX15" s="3" t="s">
        <v>248</v>
      </c>
      <c r="AY15" s="3" t="s">
        <v>249</v>
      </c>
      <c r="AZ15" s="3" t="s">
        <v>249</v>
      </c>
      <c r="BA15" s="3" t="s">
        <v>250</v>
      </c>
      <c r="BB15" s="3" t="s">
        <v>77</v>
      </c>
      <c r="BD15" s="3" t="s">
        <v>251</v>
      </c>
      <c r="BE15" s="3" t="s">
        <v>252</v>
      </c>
      <c r="BF15" s="3" t="s">
        <v>253</v>
      </c>
    </row>
    <row r="16" spans="1:58" ht="36.75" customHeight="1" x14ac:dyDescent="0.25">
      <c r="A16" s="7" t="s">
        <v>62</v>
      </c>
      <c r="B16" s="2" t="s">
        <v>57</v>
      </c>
      <c r="C16" s="2" t="s">
        <v>58</v>
      </c>
      <c r="D16" s="2" t="s">
        <v>237</v>
      </c>
      <c r="E16" s="2" t="s">
        <v>238</v>
      </c>
      <c r="F16" s="2" t="s">
        <v>239</v>
      </c>
      <c r="G16" s="3" t="s">
        <v>254</v>
      </c>
      <c r="H16" s="3" t="s">
        <v>84</v>
      </c>
      <c r="I16" s="3" t="s">
        <v>63</v>
      </c>
      <c r="J16" s="3" t="s">
        <v>62</v>
      </c>
      <c r="K16" s="3" t="s">
        <v>62</v>
      </c>
      <c r="L16" s="3" t="s">
        <v>64</v>
      </c>
      <c r="M16" s="2" t="s">
        <v>241</v>
      </c>
      <c r="N16" s="2" t="s">
        <v>242</v>
      </c>
      <c r="O16" s="3" t="s">
        <v>243</v>
      </c>
      <c r="Q16" s="3" t="s">
        <v>68</v>
      </c>
      <c r="R16" s="3" t="s">
        <v>229</v>
      </c>
      <c r="S16" s="2" t="s">
        <v>244</v>
      </c>
      <c r="T16" s="3" t="s">
        <v>70</v>
      </c>
      <c r="U16" s="4">
        <v>3</v>
      </c>
      <c r="V16" s="4">
        <v>5</v>
      </c>
      <c r="W16" s="5" t="s">
        <v>246</v>
      </c>
      <c r="X16" s="5" t="s">
        <v>246</v>
      </c>
      <c r="Y16" s="5" t="s">
        <v>72</v>
      </c>
      <c r="Z16" s="5" t="s">
        <v>72</v>
      </c>
      <c r="AA16" s="4">
        <v>223</v>
      </c>
      <c r="AB16" s="4">
        <v>193</v>
      </c>
      <c r="AC16" s="4">
        <v>200</v>
      </c>
      <c r="AD16" s="4">
        <v>1</v>
      </c>
      <c r="AE16" s="4">
        <v>1</v>
      </c>
      <c r="AF16" s="4">
        <v>10</v>
      </c>
      <c r="AG16" s="4">
        <v>10</v>
      </c>
      <c r="AH16" s="4">
        <v>4</v>
      </c>
      <c r="AI16" s="4">
        <v>4</v>
      </c>
      <c r="AJ16" s="4">
        <v>5</v>
      </c>
      <c r="AK16" s="4">
        <v>5</v>
      </c>
      <c r="AL16" s="4">
        <v>5</v>
      </c>
      <c r="AM16" s="4">
        <v>5</v>
      </c>
      <c r="AN16" s="4">
        <v>0</v>
      </c>
      <c r="AO16" s="4">
        <v>0</v>
      </c>
      <c r="AP16" s="4">
        <v>0</v>
      </c>
      <c r="AQ16" s="4">
        <v>0</v>
      </c>
      <c r="AR16" s="3" t="s">
        <v>62</v>
      </c>
      <c r="AS16" s="3" t="s">
        <v>84</v>
      </c>
      <c r="AT16" s="6" t="str">
        <f>HYPERLINK("http://catalog.hathitrust.org/Record/000030146","HathiTrust Record")</f>
        <v>HathiTrust Record</v>
      </c>
      <c r="AU16" s="6" t="str">
        <f>HYPERLINK("https://creighton-primo.hosted.exlibrisgroup.com/primo-explore/search?tab=default_tab&amp;search_scope=EVERYTHING&amp;vid=01CRU&amp;lang=en_US&amp;offset=0&amp;query=any,contains,991004832399702656","Catalog Record")</f>
        <v>Catalog Record</v>
      </c>
      <c r="AV16" s="6" t="str">
        <f>HYPERLINK("http://www.worldcat.org/oclc/5412564","WorldCat Record")</f>
        <v>WorldCat Record</v>
      </c>
      <c r="AW16" s="3" t="s">
        <v>247</v>
      </c>
      <c r="AX16" s="3" t="s">
        <v>248</v>
      </c>
      <c r="AY16" s="3" t="s">
        <v>249</v>
      </c>
      <c r="AZ16" s="3" t="s">
        <v>249</v>
      </c>
      <c r="BA16" s="3" t="s">
        <v>250</v>
      </c>
      <c r="BB16" s="3" t="s">
        <v>77</v>
      </c>
      <c r="BD16" s="3" t="s">
        <v>251</v>
      </c>
      <c r="BE16" s="3" t="s">
        <v>255</v>
      </c>
      <c r="BF16" s="3" t="s">
        <v>256</v>
      </c>
    </row>
    <row r="17" spans="1:58" ht="36.75" customHeight="1" x14ac:dyDescent="0.25">
      <c r="A17" s="7" t="s">
        <v>62</v>
      </c>
      <c r="B17" s="2" t="s">
        <v>57</v>
      </c>
      <c r="C17" s="2" t="s">
        <v>58</v>
      </c>
      <c r="D17" s="2" t="s">
        <v>257</v>
      </c>
      <c r="E17" s="2" t="s">
        <v>258</v>
      </c>
      <c r="F17" s="2" t="s">
        <v>259</v>
      </c>
      <c r="H17" s="3" t="s">
        <v>62</v>
      </c>
      <c r="I17" s="3" t="s">
        <v>63</v>
      </c>
      <c r="J17" s="3" t="s">
        <v>62</v>
      </c>
      <c r="K17" s="3" t="s">
        <v>62</v>
      </c>
      <c r="L17" s="3" t="s">
        <v>64</v>
      </c>
      <c r="M17" s="2" t="s">
        <v>260</v>
      </c>
      <c r="N17" s="2" t="s">
        <v>261</v>
      </c>
      <c r="O17" s="3" t="s">
        <v>262</v>
      </c>
      <c r="P17" s="2" t="s">
        <v>263</v>
      </c>
      <c r="Q17" s="3" t="s">
        <v>68</v>
      </c>
      <c r="R17" s="3" t="s">
        <v>69</v>
      </c>
      <c r="S17" s="2" t="s">
        <v>264</v>
      </c>
      <c r="T17" s="3" t="s">
        <v>70</v>
      </c>
      <c r="U17" s="4">
        <v>2</v>
      </c>
      <c r="V17" s="4">
        <v>2</v>
      </c>
      <c r="W17" s="5" t="s">
        <v>265</v>
      </c>
      <c r="X17" s="5" t="s">
        <v>265</v>
      </c>
      <c r="Y17" s="5" t="s">
        <v>72</v>
      </c>
      <c r="Z17" s="5" t="s">
        <v>72</v>
      </c>
      <c r="AA17" s="4">
        <v>559</v>
      </c>
      <c r="AB17" s="4">
        <v>521</v>
      </c>
      <c r="AC17" s="4">
        <v>523</v>
      </c>
      <c r="AD17" s="4">
        <v>5</v>
      </c>
      <c r="AE17" s="4">
        <v>5</v>
      </c>
      <c r="AF17" s="4">
        <v>28</v>
      </c>
      <c r="AG17" s="4">
        <v>28</v>
      </c>
      <c r="AH17" s="4">
        <v>10</v>
      </c>
      <c r="AI17" s="4">
        <v>10</v>
      </c>
      <c r="AJ17" s="4">
        <v>5</v>
      </c>
      <c r="AK17" s="4">
        <v>5</v>
      </c>
      <c r="AL17" s="4">
        <v>16</v>
      </c>
      <c r="AM17" s="4">
        <v>16</v>
      </c>
      <c r="AN17" s="4">
        <v>3</v>
      </c>
      <c r="AO17" s="4">
        <v>3</v>
      </c>
      <c r="AP17" s="4">
        <v>0</v>
      </c>
      <c r="AQ17" s="4">
        <v>0</v>
      </c>
      <c r="AR17" s="3" t="s">
        <v>62</v>
      </c>
      <c r="AS17" s="3" t="s">
        <v>62</v>
      </c>
      <c r="AT17" s="6" t="str">
        <f>HYPERLINK("http://catalog.hathitrust.org/Record/100033904","HathiTrust Record")</f>
        <v>HathiTrust Record</v>
      </c>
      <c r="AU17" s="6" t="str">
        <f>HYPERLINK("https://creighton-primo.hosted.exlibrisgroup.com/primo-explore/search?tab=default_tab&amp;search_scope=EVERYTHING&amp;vid=01CRU&amp;lang=en_US&amp;offset=0&amp;query=any,contains,991002636859702656","Catalog Record")</f>
        <v>Catalog Record</v>
      </c>
      <c r="AV17" s="6" t="str">
        <f>HYPERLINK("http://www.worldcat.org/oclc/382722","WorldCat Record")</f>
        <v>WorldCat Record</v>
      </c>
      <c r="AW17" s="3" t="s">
        <v>266</v>
      </c>
      <c r="AX17" s="3" t="s">
        <v>267</v>
      </c>
      <c r="AY17" s="3" t="s">
        <v>268</v>
      </c>
      <c r="AZ17" s="3" t="s">
        <v>268</v>
      </c>
      <c r="BA17" s="3" t="s">
        <v>269</v>
      </c>
      <c r="BB17" s="3" t="s">
        <v>77</v>
      </c>
      <c r="BE17" s="3" t="s">
        <v>270</v>
      </c>
      <c r="BF17" s="3" t="s">
        <v>271</v>
      </c>
    </row>
    <row r="18" spans="1:58" ht="36.75" customHeight="1" x14ac:dyDescent="0.25">
      <c r="A18" s="7" t="s">
        <v>62</v>
      </c>
      <c r="B18" s="2" t="s">
        <v>57</v>
      </c>
      <c r="C18" s="2" t="s">
        <v>58</v>
      </c>
      <c r="D18" s="2" t="s">
        <v>272</v>
      </c>
      <c r="E18" s="2" t="s">
        <v>273</v>
      </c>
      <c r="F18" s="2" t="s">
        <v>274</v>
      </c>
      <c r="H18" s="3" t="s">
        <v>62</v>
      </c>
      <c r="I18" s="3" t="s">
        <v>63</v>
      </c>
      <c r="J18" s="3" t="s">
        <v>62</v>
      </c>
      <c r="K18" s="3" t="s">
        <v>62</v>
      </c>
      <c r="L18" s="3" t="s">
        <v>64</v>
      </c>
      <c r="M18" s="2" t="s">
        <v>103</v>
      </c>
      <c r="N18" s="2" t="s">
        <v>275</v>
      </c>
      <c r="O18" s="3" t="s">
        <v>276</v>
      </c>
      <c r="Q18" s="3" t="s">
        <v>68</v>
      </c>
      <c r="R18" s="3" t="s">
        <v>277</v>
      </c>
      <c r="S18" s="2" t="s">
        <v>278</v>
      </c>
      <c r="T18" s="3" t="s">
        <v>70</v>
      </c>
      <c r="U18" s="4">
        <v>1</v>
      </c>
      <c r="V18" s="4">
        <v>1</v>
      </c>
      <c r="W18" s="5" t="s">
        <v>279</v>
      </c>
      <c r="X18" s="5" t="s">
        <v>279</v>
      </c>
      <c r="Y18" s="5" t="s">
        <v>280</v>
      </c>
      <c r="Z18" s="5" t="s">
        <v>280</v>
      </c>
      <c r="AA18" s="4">
        <v>194</v>
      </c>
      <c r="AB18" s="4">
        <v>153</v>
      </c>
      <c r="AC18" s="4">
        <v>156</v>
      </c>
      <c r="AD18" s="4">
        <v>2</v>
      </c>
      <c r="AE18" s="4">
        <v>2</v>
      </c>
      <c r="AF18" s="4">
        <v>7</v>
      </c>
      <c r="AG18" s="4">
        <v>7</v>
      </c>
      <c r="AH18" s="4">
        <v>0</v>
      </c>
      <c r="AI18" s="4">
        <v>0</v>
      </c>
      <c r="AJ18" s="4">
        <v>3</v>
      </c>
      <c r="AK18" s="4">
        <v>3</v>
      </c>
      <c r="AL18" s="4">
        <v>4</v>
      </c>
      <c r="AM18" s="4">
        <v>4</v>
      </c>
      <c r="AN18" s="4">
        <v>1</v>
      </c>
      <c r="AO18" s="4">
        <v>1</v>
      </c>
      <c r="AP18" s="4">
        <v>0</v>
      </c>
      <c r="AQ18" s="4">
        <v>0</v>
      </c>
      <c r="AR18" s="3" t="s">
        <v>62</v>
      </c>
      <c r="AS18" s="3" t="s">
        <v>84</v>
      </c>
      <c r="AT18" s="6" t="str">
        <f>HYPERLINK("http://catalog.hathitrust.org/Record/000402386","HathiTrust Record")</f>
        <v>HathiTrust Record</v>
      </c>
      <c r="AU18" s="6" t="str">
        <f>HYPERLINK("https://creighton-primo.hosted.exlibrisgroup.com/primo-explore/search?tab=default_tab&amp;search_scope=EVERYTHING&amp;vid=01CRU&amp;lang=en_US&amp;offset=0&amp;query=any,contains,991000780899702656","Catalog Record")</f>
        <v>Catalog Record</v>
      </c>
      <c r="AV18" s="6" t="str">
        <f>HYPERLINK("http://www.worldcat.org/oclc/13095677","WorldCat Record")</f>
        <v>WorldCat Record</v>
      </c>
      <c r="AW18" s="3" t="s">
        <v>281</v>
      </c>
      <c r="AX18" s="3" t="s">
        <v>282</v>
      </c>
      <c r="AY18" s="3" t="s">
        <v>283</v>
      </c>
      <c r="AZ18" s="3" t="s">
        <v>283</v>
      </c>
      <c r="BA18" s="3" t="s">
        <v>284</v>
      </c>
      <c r="BB18" s="3" t="s">
        <v>77</v>
      </c>
      <c r="BD18" s="3" t="s">
        <v>285</v>
      </c>
      <c r="BE18" s="3" t="s">
        <v>286</v>
      </c>
      <c r="BF18" s="3" t="s">
        <v>287</v>
      </c>
    </row>
    <row r="19" spans="1:58" ht="36.75" customHeight="1" x14ac:dyDescent="0.25">
      <c r="A19" s="7" t="s">
        <v>62</v>
      </c>
      <c r="B19" s="2" t="s">
        <v>57</v>
      </c>
      <c r="C19" s="2" t="s">
        <v>58</v>
      </c>
      <c r="D19" s="2" t="s">
        <v>288</v>
      </c>
      <c r="E19" s="2" t="s">
        <v>289</v>
      </c>
      <c r="F19" s="2" t="s">
        <v>290</v>
      </c>
      <c r="H19" s="3" t="s">
        <v>62</v>
      </c>
      <c r="I19" s="3" t="s">
        <v>63</v>
      </c>
      <c r="J19" s="3" t="s">
        <v>62</v>
      </c>
      <c r="K19" s="3" t="s">
        <v>62</v>
      </c>
      <c r="L19" s="3" t="s">
        <v>64</v>
      </c>
      <c r="M19" s="2" t="s">
        <v>291</v>
      </c>
      <c r="N19" s="2" t="s">
        <v>292</v>
      </c>
      <c r="O19" s="3" t="s">
        <v>161</v>
      </c>
      <c r="Q19" s="3" t="s">
        <v>68</v>
      </c>
      <c r="R19" s="3" t="s">
        <v>87</v>
      </c>
      <c r="T19" s="3" t="s">
        <v>70</v>
      </c>
      <c r="U19" s="4">
        <v>3</v>
      </c>
      <c r="V19" s="4">
        <v>3</v>
      </c>
      <c r="W19" s="5" t="s">
        <v>293</v>
      </c>
      <c r="X19" s="5" t="s">
        <v>293</v>
      </c>
      <c r="Y19" s="5" t="s">
        <v>72</v>
      </c>
      <c r="Z19" s="5" t="s">
        <v>72</v>
      </c>
      <c r="AA19" s="4">
        <v>331</v>
      </c>
      <c r="AB19" s="4">
        <v>270</v>
      </c>
      <c r="AC19" s="4">
        <v>272</v>
      </c>
      <c r="AD19" s="4">
        <v>1</v>
      </c>
      <c r="AE19" s="4">
        <v>1</v>
      </c>
      <c r="AF19" s="4">
        <v>16</v>
      </c>
      <c r="AG19" s="4">
        <v>16</v>
      </c>
      <c r="AH19" s="4">
        <v>5</v>
      </c>
      <c r="AI19" s="4">
        <v>5</v>
      </c>
      <c r="AJ19" s="4">
        <v>5</v>
      </c>
      <c r="AK19" s="4">
        <v>5</v>
      </c>
      <c r="AL19" s="4">
        <v>11</v>
      </c>
      <c r="AM19" s="4">
        <v>11</v>
      </c>
      <c r="AN19" s="4">
        <v>0</v>
      </c>
      <c r="AO19" s="4">
        <v>0</v>
      </c>
      <c r="AP19" s="4">
        <v>0</v>
      </c>
      <c r="AQ19" s="4">
        <v>0</v>
      </c>
      <c r="AR19" s="3" t="s">
        <v>62</v>
      </c>
      <c r="AS19" s="3" t="s">
        <v>84</v>
      </c>
      <c r="AT19" s="6" t="str">
        <f>HYPERLINK("http://catalog.hathitrust.org/Record/001401794","HathiTrust Record")</f>
        <v>HathiTrust Record</v>
      </c>
      <c r="AU19" s="6" t="str">
        <f>HYPERLINK("https://creighton-primo.hosted.exlibrisgroup.com/primo-explore/search?tab=default_tab&amp;search_scope=EVERYTHING&amp;vid=01CRU&amp;lang=en_US&amp;offset=0&amp;query=any,contains,991002665479702656","Catalog Record")</f>
        <v>Catalog Record</v>
      </c>
      <c r="AV19" s="6" t="str">
        <f>HYPERLINK("http://www.worldcat.org/oclc/393028","WorldCat Record")</f>
        <v>WorldCat Record</v>
      </c>
      <c r="AW19" s="3" t="s">
        <v>294</v>
      </c>
      <c r="AX19" s="3" t="s">
        <v>295</v>
      </c>
      <c r="AY19" s="3" t="s">
        <v>296</v>
      </c>
      <c r="AZ19" s="3" t="s">
        <v>296</v>
      </c>
      <c r="BA19" s="3" t="s">
        <v>297</v>
      </c>
      <c r="BB19" s="3" t="s">
        <v>77</v>
      </c>
      <c r="BD19" s="3" t="s">
        <v>298</v>
      </c>
      <c r="BE19" s="3" t="s">
        <v>299</v>
      </c>
      <c r="BF19" s="3" t="s">
        <v>300</v>
      </c>
    </row>
    <row r="20" spans="1:58" ht="36.75" customHeight="1" x14ac:dyDescent="0.25">
      <c r="A20" s="7" t="s">
        <v>62</v>
      </c>
      <c r="B20" s="2" t="s">
        <v>57</v>
      </c>
      <c r="C20" s="2" t="s">
        <v>58</v>
      </c>
      <c r="D20" s="2" t="s">
        <v>301</v>
      </c>
      <c r="E20" s="2" t="s">
        <v>302</v>
      </c>
      <c r="F20" s="2" t="s">
        <v>303</v>
      </c>
      <c r="H20" s="3" t="s">
        <v>62</v>
      </c>
      <c r="I20" s="3" t="s">
        <v>63</v>
      </c>
      <c r="J20" s="3" t="s">
        <v>62</v>
      </c>
      <c r="K20" s="3" t="s">
        <v>62</v>
      </c>
      <c r="L20" s="3" t="s">
        <v>64</v>
      </c>
      <c r="M20" s="2" t="s">
        <v>103</v>
      </c>
      <c r="N20" s="2" t="s">
        <v>304</v>
      </c>
      <c r="O20" s="3" t="s">
        <v>161</v>
      </c>
      <c r="Q20" s="3" t="s">
        <v>68</v>
      </c>
      <c r="R20" s="3" t="s">
        <v>305</v>
      </c>
      <c r="T20" s="3" t="s">
        <v>70</v>
      </c>
      <c r="U20" s="4">
        <v>3</v>
      </c>
      <c r="V20" s="4">
        <v>3</v>
      </c>
      <c r="W20" s="5" t="s">
        <v>306</v>
      </c>
      <c r="X20" s="5" t="s">
        <v>306</v>
      </c>
      <c r="Y20" s="5" t="s">
        <v>72</v>
      </c>
      <c r="Z20" s="5" t="s">
        <v>72</v>
      </c>
      <c r="AA20" s="4">
        <v>554</v>
      </c>
      <c r="AB20" s="4">
        <v>489</v>
      </c>
      <c r="AC20" s="4">
        <v>600</v>
      </c>
      <c r="AD20" s="4">
        <v>4</v>
      </c>
      <c r="AE20" s="4">
        <v>4</v>
      </c>
      <c r="AF20" s="4">
        <v>31</v>
      </c>
      <c r="AG20" s="4">
        <v>39</v>
      </c>
      <c r="AH20" s="4">
        <v>13</v>
      </c>
      <c r="AI20" s="4">
        <v>17</v>
      </c>
      <c r="AJ20" s="4">
        <v>5</v>
      </c>
      <c r="AK20" s="4">
        <v>8</v>
      </c>
      <c r="AL20" s="4">
        <v>20</v>
      </c>
      <c r="AM20" s="4">
        <v>23</v>
      </c>
      <c r="AN20" s="4">
        <v>3</v>
      </c>
      <c r="AO20" s="4">
        <v>3</v>
      </c>
      <c r="AP20" s="4">
        <v>0</v>
      </c>
      <c r="AQ20" s="4">
        <v>0</v>
      </c>
      <c r="AR20" s="3" t="s">
        <v>62</v>
      </c>
      <c r="AS20" s="3" t="s">
        <v>62</v>
      </c>
      <c r="AU20" s="6" t="str">
        <f>HYPERLINK("https://creighton-primo.hosted.exlibrisgroup.com/primo-explore/search?tab=default_tab&amp;search_scope=EVERYTHING&amp;vid=01CRU&amp;lang=en_US&amp;offset=0&amp;query=any,contains,991002952329702656","Catalog Record")</f>
        <v>Catalog Record</v>
      </c>
      <c r="AV20" s="6" t="str">
        <f>HYPERLINK("http://www.worldcat.org/oclc/539677","WorldCat Record")</f>
        <v>WorldCat Record</v>
      </c>
      <c r="AW20" s="3" t="s">
        <v>307</v>
      </c>
      <c r="AX20" s="3" t="s">
        <v>308</v>
      </c>
      <c r="AY20" s="3" t="s">
        <v>309</v>
      </c>
      <c r="AZ20" s="3" t="s">
        <v>309</v>
      </c>
      <c r="BA20" s="3" t="s">
        <v>310</v>
      </c>
      <c r="BB20" s="3" t="s">
        <v>77</v>
      </c>
      <c r="BD20" s="3" t="s">
        <v>311</v>
      </c>
      <c r="BE20" s="3" t="s">
        <v>312</v>
      </c>
      <c r="BF20" s="3" t="s">
        <v>313</v>
      </c>
    </row>
    <row r="21" spans="1:58" ht="36.75" customHeight="1" x14ac:dyDescent="0.25">
      <c r="A21" s="7" t="s">
        <v>62</v>
      </c>
      <c r="B21" s="2" t="s">
        <v>57</v>
      </c>
      <c r="C21" s="2" t="s">
        <v>58</v>
      </c>
      <c r="D21" s="2" t="s">
        <v>314</v>
      </c>
      <c r="E21" s="2" t="s">
        <v>315</v>
      </c>
      <c r="F21" s="2" t="s">
        <v>316</v>
      </c>
      <c r="H21" s="3" t="s">
        <v>62</v>
      </c>
      <c r="I21" s="3" t="s">
        <v>63</v>
      </c>
      <c r="J21" s="3" t="s">
        <v>62</v>
      </c>
      <c r="K21" s="3" t="s">
        <v>62</v>
      </c>
      <c r="L21" s="3" t="s">
        <v>64</v>
      </c>
      <c r="M21" s="2" t="s">
        <v>317</v>
      </c>
      <c r="N21" s="2" t="s">
        <v>318</v>
      </c>
      <c r="O21" s="3" t="s">
        <v>319</v>
      </c>
      <c r="Q21" s="3" t="s">
        <v>68</v>
      </c>
      <c r="R21" s="3" t="s">
        <v>162</v>
      </c>
      <c r="T21" s="3" t="s">
        <v>70</v>
      </c>
      <c r="U21" s="4">
        <v>2</v>
      </c>
      <c r="V21" s="4">
        <v>2</v>
      </c>
      <c r="W21" s="5" t="s">
        <v>320</v>
      </c>
      <c r="X21" s="5" t="s">
        <v>320</v>
      </c>
      <c r="Y21" s="5" t="s">
        <v>72</v>
      </c>
      <c r="Z21" s="5" t="s">
        <v>72</v>
      </c>
      <c r="AA21" s="4">
        <v>672</v>
      </c>
      <c r="AB21" s="4">
        <v>571</v>
      </c>
      <c r="AC21" s="4">
        <v>572</v>
      </c>
      <c r="AD21" s="4">
        <v>4</v>
      </c>
      <c r="AE21" s="4">
        <v>4</v>
      </c>
      <c r="AF21" s="4">
        <v>39</v>
      </c>
      <c r="AG21" s="4">
        <v>39</v>
      </c>
      <c r="AH21" s="4">
        <v>17</v>
      </c>
      <c r="AI21" s="4">
        <v>17</v>
      </c>
      <c r="AJ21" s="4">
        <v>7</v>
      </c>
      <c r="AK21" s="4">
        <v>7</v>
      </c>
      <c r="AL21" s="4">
        <v>23</v>
      </c>
      <c r="AM21" s="4">
        <v>23</v>
      </c>
      <c r="AN21" s="4">
        <v>3</v>
      </c>
      <c r="AO21" s="4">
        <v>3</v>
      </c>
      <c r="AP21" s="4">
        <v>0</v>
      </c>
      <c r="AQ21" s="4">
        <v>0</v>
      </c>
      <c r="AR21" s="3" t="s">
        <v>62</v>
      </c>
      <c r="AS21" s="3" t="s">
        <v>62</v>
      </c>
      <c r="AU21" s="6" t="str">
        <f>HYPERLINK("https://creighton-primo.hosted.exlibrisgroup.com/primo-explore/search?tab=default_tab&amp;search_scope=EVERYTHING&amp;vid=01CRU&amp;lang=en_US&amp;offset=0&amp;query=any,contains,991004563699702656","Catalog Record")</f>
        <v>Catalog Record</v>
      </c>
      <c r="AV21" s="6" t="str">
        <f>HYPERLINK("http://www.worldcat.org/oclc/4004001","WorldCat Record")</f>
        <v>WorldCat Record</v>
      </c>
      <c r="AW21" s="3" t="s">
        <v>321</v>
      </c>
      <c r="AX21" s="3" t="s">
        <v>322</v>
      </c>
      <c r="AY21" s="3" t="s">
        <v>323</v>
      </c>
      <c r="AZ21" s="3" t="s">
        <v>323</v>
      </c>
      <c r="BA21" s="3" t="s">
        <v>324</v>
      </c>
      <c r="BB21" s="3" t="s">
        <v>77</v>
      </c>
      <c r="BD21" s="3" t="s">
        <v>325</v>
      </c>
      <c r="BE21" s="3" t="s">
        <v>326</v>
      </c>
      <c r="BF21" s="3" t="s">
        <v>327</v>
      </c>
    </row>
    <row r="22" spans="1:58" ht="36.75" customHeight="1" x14ac:dyDescent="0.25">
      <c r="A22" s="7" t="s">
        <v>62</v>
      </c>
      <c r="B22" s="2" t="s">
        <v>57</v>
      </c>
      <c r="C22" s="2" t="s">
        <v>58</v>
      </c>
      <c r="D22" s="2" t="s">
        <v>328</v>
      </c>
      <c r="E22" s="2" t="s">
        <v>329</v>
      </c>
      <c r="F22" s="2" t="s">
        <v>330</v>
      </c>
      <c r="H22" s="3" t="s">
        <v>62</v>
      </c>
      <c r="I22" s="3" t="s">
        <v>63</v>
      </c>
      <c r="J22" s="3" t="s">
        <v>62</v>
      </c>
      <c r="K22" s="3" t="s">
        <v>62</v>
      </c>
      <c r="L22" s="3" t="s">
        <v>64</v>
      </c>
      <c r="M22" s="2" t="s">
        <v>331</v>
      </c>
      <c r="N22" s="2" t="s">
        <v>332</v>
      </c>
      <c r="O22" s="3" t="s">
        <v>333</v>
      </c>
      <c r="P22" s="2" t="s">
        <v>334</v>
      </c>
      <c r="Q22" s="3" t="s">
        <v>68</v>
      </c>
      <c r="R22" s="3" t="s">
        <v>87</v>
      </c>
      <c r="T22" s="3" t="s">
        <v>70</v>
      </c>
      <c r="U22" s="4">
        <v>5</v>
      </c>
      <c r="V22" s="4">
        <v>5</v>
      </c>
      <c r="W22" s="5" t="s">
        <v>335</v>
      </c>
      <c r="X22" s="5" t="s">
        <v>335</v>
      </c>
      <c r="Y22" s="5" t="s">
        <v>72</v>
      </c>
      <c r="Z22" s="5" t="s">
        <v>72</v>
      </c>
      <c r="AA22" s="4">
        <v>542</v>
      </c>
      <c r="AB22" s="4">
        <v>509</v>
      </c>
      <c r="AC22" s="4">
        <v>558</v>
      </c>
      <c r="AD22" s="4">
        <v>4</v>
      </c>
      <c r="AE22" s="4">
        <v>4</v>
      </c>
      <c r="AF22" s="4">
        <v>13</v>
      </c>
      <c r="AG22" s="4">
        <v>15</v>
      </c>
      <c r="AH22" s="4">
        <v>5</v>
      </c>
      <c r="AI22" s="4">
        <v>5</v>
      </c>
      <c r="AJ22" s="4">
        <v>1</v>
      </c>
      <c r="AK22" s="4">
        <v>2</v>
      </c>
      <c r="AL22" s="4">
        <v>6</v>
      </c>
      <c r="AM22" s="4">
        <v>8</v>
      </c>
      <c r="AN22" s="4">
        <v>3</v>
      </c>
      <c r="AO22" s="4">
        <v>3</v>
      </c>
      <c r="AP22" s="4">
        <v>0</v>
      </c>
      <c r="AQ22" s="4">
        <v>0</v>
      </c>
      <c r="AR22" s="3" t="s">
        <v>62</v>
      </c>
      <c r="AS22" s="3" t="s">
        <v>62</v>
      </c>
      <c r="AT22" s="6" t="str">
        <f>HYPERLINK("http://catalog.hathitrust.org/Record/000020634","HathiTrust Record")</f>
        <v>HathiTrust Record</v>
      </c>
      <c r="AU22" s="6" t="str">
        <f>HYPERLINK("https://creighton-primo.hosted.exlibrisgroup.com/primo-explore/search?tab=default_tab&amp;search_scope=EVERYTHING&amp;vid=01CRU&amp;lang=en_US&amp;offset=0&amp;query=any,contains,991004226669702656","Catalog Record")</f>
        <v>Catalog Record</v>
      </c>
      <c r="AV22" s="6" t="str">
        <f>HYPERLINK("http://www.worldcat.org/oclc/2732770","WorldCat Record")</f>
        <v>WorldCat Record</v>
      </c>
      <c r="AW22" s="3" t="s">
        <v>336</v>
      </c>
      <c r="AX22" s="3" t="s">
        <v>337</v>
      </c>
      <c r="AY22" s="3" t="s">
        <v>338</v>
      </c>
      <c r="AZ22" s="3" t="s">
        <v>338</v>
      </c>
      <c r="BA22" s="3" t="s">
        <v>339</v>
      </c>
      <c r="BB22" s="3" t="s">
        <v>77</v>
      </c>
      <c r="BE22" s="3" t="s">
        <v>340</v>
      </c>
      <c r="BF22" s="3" t="s">
        <v>341</v>
      </c>
    </row>
    <row r="23" spans="1:58" ht="36.75" customHeight="1" x14ac:dyDescent="0.25">
      <c r="A23" s="7" t="s">
        <v>62</v>
      </c>
      <c r="B23" s="2" t="s">
        <v>57</v>
      </c>
      <c r="C23" s="2" t="s">
        <v>58</v>
      </c>
      <c r="D23" s="2" t="s">
        <v>342</v>
      </c>
      <c r="E23" s="2" t="s">
        <v>343</v>
      </c>
      <c r="F23" s="2" t="s">
        <v>344</v>
      </c>
      <c r="H23" s="3" t="s">
        <v>62</v>
      </c>
      <c r="I23" s="3" t="s">
        <v>63</v>
      </c>
      <c r="J23" s="3" t="s">
        <v>62</v>
      </c>
      <c r="K23" s="3" t="s">
        <v>62</v>
      </c>
      <c r="L23" s="3" t="s">
        <v>64</v>
      </c>
      <c r="M23" s="2" t="s">
        <v>143</v>
      </c>
      <c r="N23" s="2" t="s">
        <v>345</v>
      </c>
      <c r="O23" s="3" t="s">
        <v>333</v>
      </c>
      <c r="P23" s="2" t="s">
        <v>263</v>
      </c>
      <c r="Q23" s="3" t="s">
        <v>68</v>
      </c>
      <c r="R23" s="3" t="s">
        <v>87</v>
      </c>
      <c r="S23" s="2" t="s">
        <v>346</v>
      </c>
      <c r="T23" s="3" t="s">
        <v>70</v>
      </c>
      <c r="U23" s="4">
        <v>3</v>
      </c>
      <c r="V23" s="4">
        <v>3</v>
      </c>
      <c r="W23" s="5" t="s">
        <v>347</v>
      </c>
      <c r="X23" s="5" t="s">
        <v>347</v>
      </c>
      <c r="Y23" s="5" t="s">
        <v>72</v>
      </c>
      <c r="Z23" s="5" t="s">
        <v>72</v>
      </c>
      <c r="AA23" s="4">
        <v>727</v>
      </c>
      <c r="AB23" s="4">
        <v>661</v>
      </c>
      <c r="AC23" s="4">
        <v>1070</v>
      </c>
      <c r="AD23" s="4">
        <v>7</v>
      </c>
      <c r="AE23" s="4">
        <v>10</v>
      </c>
      <c r="AF23" s="4">
        <v>28</v>
      </c>
      <c r="AG23" s="4">
        <v>40</v>
      </c>
      <c r="AH23" s="4">
        <v>9</v>
      </c>
      <c r="AI23" s="4">
        <v>15</v>
      </c>
      <c r="AJ23" s="4">
        <v>6</v>
      </c>
      <c r="AK23" s="4">
        <v>9</v>
      </c>
      <c r="AL23" s="4">
        <v>14</v>
      </c>
      <c r="AM23" s="4">
        <v>20</v>
      </c>
      <c r="AN23" s="4">
        <v>5</v>
      </c>
      <c r="AO23" s="4">
        <v>6</v>
      </c>
      <c r="AP23" s="4">
        <v>0</v>
      </c>
      <c r="AQ23" s="4">
        <v>0</v>
      </c>
      <c r="AR23" s="3" t="s">
        <v>62</v>
      </c>
      <c r="AS23" s="3" t="s">
        <v>84</v>
      </c>
      <c r="AT23" s="6" t="str">
        <f>HYPERLINK("http://catalog.hathitrust.org/Record/001402022","HathiTrust Record")</f>
        <v>HathiTrust Record</v>
      </c>
      <c r="AU23" s="6" t="str">
        <f>HYPERLINK("https://creighton-primo.hosted.exlibrisgroup.com/primo-explore/search?tab=default_tab&amp;search_scope=EVERYTHING&amp;vid=01CRU&amp;lang=en_US&amp;offset=0&amp;query=any,contains,991002030899702656","Catalog Record")</f>
        <v>Catalog Record</v>
      </c>
      <c r="AV23" s="6" t="str">
        <f>HYPERLINK("http://www.worldcat.org/oclc/260187","WorldCat Record")</f>
        <v>WorldCat Record</v>
      </c>
      <c r="AW23" s="3" t="s">
        <v>348</v>
      </c>
      <c r="AX23" s="3" t="s">
        <v>349</v>
      </c>
      <c r="AY23" s="3" t="s">
        <v>350</v>
      </c>
      <c r="AZ23" s="3" t="s">
        <v>350</v>
      </c>
      <c r="BA23" s="3" t="s">
        <v>351</v>
      </c>
      <c r="BB23" s="3" t="s">
        <v>77</v>
      </c>
      <c r="BE23" s="3" t="s">
        <v>352</v>
      </c>
      <c r="BF23" s="3" t="s">
        <v>353</v>
      </c>
    </row>
    <row r="24" spans="1:58" ht="36.75" customHeight="1" x14ac:dyDescent="0.25">
      <c r="A24" s="7" t="s">
        <v>62</v>
      </c>
      <c r="B24" s="2" t="s">
        <v>57</v>
      </c>
      <c r="C24" s="2" t="s">
        <v>58</v>
      </c>
      <c r="D24" s="2" t="s">
        <v>354</v>
      </c>
      <c r="E24" s="2" t="s">
        <v>355</v>
      </c>
      <c r="F24" s="2" t="s">
        <v>356</v>
      </c>
      <c r="H24" s="3" t="s">
        <v>62</v>
      </c>
      <c r="I24" s="3" t="s">
        <v>63</v>
      </c>
      <c r="J24" s="3" t="s">
        <v>62</v>
      </c>
      <c r="K24" s="3" t="s">
        <v>62</v>
      </c>
      <c r="L24" s="3" t="s">
        <v>64</v>
      </c>
      <c r="M24" s="2" t="s">
        <v>357</v>
      </c>
      <c r="N24" s="2" t="s">
        <v>358</v>
      </c>
      <c r="O24" s="3" t="s">
        <v>333</v>
      </c>
      <c r="Q24" s="3" t="s">
        <v>68</v>
      </c>
      <c r="R24" s="3" t="s">
        <v>359</v>
      </c>
      <c r="T24" s="3" t="s">
        <v>70</v>
      </c>
      <c r="U24" s="4">
        <v>5</v>
      </c>
      <c r="V24" s="4">
        <v>5</v>
      </c>
      <c r="W24" s="5" t="s">
        <v>360</v>
      </c>
      <c r="X24" s="5" t="s">
        <v>360</v>
      </c>
      <c r="Y24" s="5" t="s">
        <v>72</v>
      </c>
      <c r="Z24" s="5" t="s">
        <v>72</v>
      </c>
      <c r="AA24" s="4">
        <v>593</v>
      </c>
      <c r="AB24" s="4">
        <v>468</v>
      </c>
      <c r="AC24" s="4">
        <v>474</v>
      </c>
      <c r="AD24" s="4">
        <v>4</v>
      </c>
      <c r="AE24" s="4">
        <v>4</v>
      </c>
      <c r="AF24" s="4">
        <v>34</v>
      </c>
      <c r="AG24" s="4">
        <v>34</v>
      </c>
      <c r="AH24" s="4">
        <v>15</v>
      </c>
      <c r="AI24" s="4">
        <v>15</v>
      </c>
      <c r="AJ24" s="4">
        <v>6</v>
      </c>
      <c r="AK24" s="4">
        <v>6</v>
      </c>
      <c r="AL24" s="4">
        <v>23</v>
      </c>
      <c r="AM24" s="4">
        <v>23</v>
      </c>
      <c r="AN24" s="4">
        <v>2</v>
      </c>
      <c r="AO24" s="4">
        <v>2</v>
      </c>
      <c r="AP24" s="4">
        <v>0</v>
      </c>
      <c r="AQ24" s="4">
        <v>0</v>
      </c>
      <c r="AR24" s="3" t="s">
        <v>62</v>
      </c>
      <c r="AS24" s="3" t="s">
        <v>62</v>
      </c>
      <c r="AU24" s="6" t="str">
        <f>HYPERLINK("https://creighton-primo.hosted.exlibrisgroup.com/primo-explore/search?tab=default_tab&amp;search_scope=EVERYTHING&amp;vid=01CRU&amp;lang=en_US&amp;offset=0&amp;query=any,contains,991002489099702656","Catalog Record")</f>
        <v>Catalog Record</v>
      </c>
      <c r="AV24" s="6" t="str">
        <f>HYPERLINK("http://www.worldcat.org/oclc/362058","WorldCat Record")</f>
        <v>WorldCat Record</v>
      </c>
      <c r="AW24" s="3" t="s">
        <v>361</v>
      </c>
      <c r="AX24" s="3" t="s">
        <v>362</v>
      </c>
      <c r="AY24" s="3" t="s">
        <v>363</v>
      </c>
      <c r="AZ24" s="3" t="s">
        <v>363</v>
      </c>
      <c r="BA24" s="3" t="s">
        <v>364</v>
      </c>
      <c r="BB24" s="3" t="s">
        <v>77</v>
      </c>
      <c r="BE24" s="3" t="s">
        <v>365</v>
      </c>
      <c r="BF24" s="3" t="s">
        <v>366</v>
      </c>
    </row>
    <row r="25" spans="1:58" ht="36.75" customHeight="1" x14ac:dyDescent="0.25">
      <c r="A25" s="7" t="s">
        <v>62</v>
      </c>
      <c r="B25" s="2" t="s">
        <v>57</v>
      </c>
      <c r="C25" s="2" t="s">
        <v>58</v>
      </c>
      <c r="D25" s="2" t="s">
        <v>367</v>
      </c>
      <c r="E25" s="2" t="s">
        <v>368</v>
      </c>
      <c r="F25" s="2" t="s">
        <v>369</v>
      </c>
      <c r="H25" s="3" t="s">
        <v>62</v>
      </c>
      <c r="I25" s="3" t="s">
        <v>63</v>
      </c>
      <c r="J25" s="3" t="s">
        <v>62</v>
      </c>
      <c r="K25" s="3" t="s">
        <v>62</v>
      </c>
      <c r="L25" s="3" t="s">
        <v>64</v>
      </c>
      <c r="M25" s="2" t="s">
        <v>370</v>
      </c>
      <c r="N25" s="2" t="s">
        <v>371</v>
      </c>
      <c r="O25" s="3" t="s">
        <v>176</v>
      </c>
      <c r="Q25" s="3" t="s">
        <v>68</v>
      </c>
      <c r="R25" s="3" t="s">
        <v>372</v>
      </c>
      <c r="T25" s="3" t="s">
        <v>70</v>
      </c>
      <c r="U25" s="4">
        <v>2</v>
      </c>
      <c r="V25" s="4">
        <v>2</v>
      </c>
      <c r="W25" s="5" t="s">
        <v>373</v>
      </c>
      <c r="X25" s="5" t="s">
        <v>373</v>
      </c>
      <c r="Y25" s="5" t="s">
        <v>374</v>
      </c>
      <c r="Z25" s="5" t="s">
        <v>374</v>
      </c>
      <c r="AA25" s="4">
        <v>108</v>
      </c>
      <c r="AB25" s="4">
        <v>97</v>
      </c>
      <c r="AC25" s="4">
        <v>536</v>
      </c>
      <c r="AD25" s="4">
        <v>2</v>
      </c>
      <c r="AE25" s="4">
        <v>4</v>
      </c>
      <c r="AF25" s="4">
        <v>4</v>
      </c>
      <c r="AG25" s="4">
        <v>28</v>
      </c>
      <c r="AH25" s="4">
        <v>1</v>
      </c>
      <c r="AI25" s="4">
        <v>13</v>
      </c>
      <c r="AJ25" s="4">
        <v>2</v>
      </c>
      <c r="AK25" s="4">
        <v>6</v>
      </c>
      <c r="AL25" s="4">
        <v>2</v>
      </c>
      <c r="AM25" s="4">
        <v>15</v>
      </c>
      <c r="AN25" s="4">
        <v>0</v>
      </c>
      <c r="AO25" s="4">
        <v>2</v>
      </c>
      <c r="AP25" s="4">
        <v>0</v>
      </c>
      <c r="AQ25" s="4">
        <v>0</v>
      </c>
      <c r="AR25" s="3" t="s">
        <v>62</v>
      </c>
      <c r="AS25" s="3" t="s">
        <v>84</v>
      </c>
      <c r="AT25" s="6" t="str">
        <f>HYPERLINK("http://catalog.hathitrust.org/Record/004507094","HathiTrust Record")</f>
        <v>HathiTrust Record</v>
      </c>
      <c r="AU25" s="6" t="str">
        <f>HYPERLINK("https://creighton-primo.hosted.exlibrisgroup.com/primo-explore/search?tab=default_tab&amp;search_scope=EVERYTHING&amp;vid=01CRU&amp;lang=en_US&amp;offset=0&amp;query=any,contains,991004113139702656","Catalog Record")</f>
        <v>Catalog Record</v>
      </c>
      <c r="AV25" s="6" t="str">
        <f>HYPERLINK("http://www.worldcat.org/oclc/2401870","WorldCat Record")</f>
        <v>WorldCat Record</v>
      </c>
      <c r="AW25" s="3" t="s">
        <v>375</v>
      </c>
      <c r="AX25" s="3" t="s">
        <v>376</v>
      </c>
      <c r="AY25" s="3" t="s">
        <v>377</v>
      </c>
      <c r="AZ25" s="3" t="s">
        <v>377</v>
      </c>
      <c r="BA25" s="3" t="s">
        <v>378</v>
      </c>
      <c r="BB25" s="3" t="s">
        <v>77</v>
      </c>
      <c r="BD25" s="3" t="s">
        <v>379</v>
      </c>
      <c r="BE25" s="3" t="s">
        <v>380</v>
      </c>
      <c r="BF25" s="3" t="s">
        <v>381</v>
      </c>
    </row>
    <row r="26" spans="1:58" ht="36.75" customHeight="1" x14ac:dyDescent="0.25">
      <c r="A26" s="7" t="s">
        <v>62</v>
      </c>
      <c r="B26" s="2" t="s">
        <v>57</v>
      </c>
      <c r="C26" s="2" t="s">
        <v>58</v>
      </c>
      <c r="D26" s="2" t="s">
        <v>382</v>
      </c>
      <c r="E26" s="2" t="s">
        <v>383</v>
      </c>
      <c r="F26" s="2" t="s">
        <v>384</v>
      </c>
      <c r="H26" s="3" t="s">
        <v>62</v>
      </c>
      <c r="I26" s="3" t="s">
        <v>63</v>
      </c>
      <c r="J26" s="3" t="s">
        <v>62</v>
      </c>
      <c r="K26" s="3" t="s">
        <v>62</v>
      </c>
      <c r="L26" s="3" t="s">
        <v>64</v>
      </c>
      <c r="M26" s="2" t="s">
        <v>385</v>
      </c>
      <c r="N26" s="2" t="s">
        <v>386</v>
      </c>
      <c r="O26" s="3" t="s">
        <v>190</v>
      </c>
      <c r="Q26" s="3" t="s">
        <v>68</v>
      </c>
      <c r="R26" s="3" t="s">
        <v>277</v>
      </c>
      <c r="T26" s="3" t="s">
        <v>70</v>
      </c>
      <c r="U26" s="4">
        <v>6</v>
      </c>
      <c r="V26" s="4">
        <v>6</v>
      </c>
      <c r="W26" s="5" t="s">
        <v>387</v>
      </c>
      <c r="X26" s="5" t="s">
        <v>387</v>
      </c>
      <c r="Y26" s="5" t="s">
        <v>72</v>
      </c>
      <c r="Z26" s="5" t="s">
        <v>72</v>
      </c>
      <c r="AA26" s="4">
        <v>388</v>
      </c>
      <c r="AB26" s="4">
        <v>344</v>
      </c>
      <c r="AC26" s="4">
        <v>419</v>
      </c>
      <c r="AD26" s="4">
        <v>3</v>
      </c>
      <c r="AE26" s="4">
        <v>3</v>
      </c>
      <c r="AF26" s="4">
        <v>32</v>
      </c>
      <c r="AG26" s="4">
        <v>36</v>
      </c>
      <c r="AH26" s="4">
        <v>12</v>
      </c>
      <c r="AI26" s="4">
        <v>15</v>
      </c>
      <c r="AJ26" s="4">
        <v>8</v>
      </c>
      <c r="AK26" s="4">
        <v>8</v>
      </c>
      <c r="AL26" s="4">
        <v>21</v>
      </c>
      <c r="AM26" s="4">
        <v>24</v>
      </c>
      <c r="AN26" s="4">
        <v>1</v>
      </c>
      <c r="AO26" s="4">
        <v>1</v>
      </c>
      <c r="AP26" s="4">
        <v>0</v>
      </c>
      <c r="AQ26" s="4">
        <v>0</v>
      </c>
      <c r="AR26" s="3" t="s">
        <v>62</v>
      </c>
      <c r="AS26" s="3" t="s">
        <v>62</v>
      </c>
      <c r="AU26" s="6" t="str">
        <f>HYPERLINK("https://creighton-primo.hosted.exlibrisgroup.com/primo-explore/search?tab=default_tab&amp;search_scope=EVERYTHING&amp;vid=01CRU&amp;lang=en_US&amp;offset=0&amp;query=any,contains,991002490479702656","Catalog Record")</f>
        <v>Catalog Record</v>
      </c>
      <c r="AV26" s="6" t="str">
        <f>HYPERLINK("http://www.worldcat.org/oclc/362549","WorldCat Record")</f>
        <v>WorldCat Record</v>
      </c>
      <c r="AW26" s="3" t="s">
        <v>388</v>
      </c>
      <c r="AX26" s="3" t="s">
        <v>389</v>
      </c>
      <c r="AY26" s="3" t="s">
        <v>390</v>
      </c>
      <c r="AZ26" s="3" t="s">
        <v>390</v>
      </c>
      <c r="BA26" s="3" t="s">
        <v>391</v>
      </c>
      <c r="BB26" s="3" t="s">
        <v>77</v>
      </c>
      <c r="BE26" s="3" t="s">
        <v>392</v>
      </c>
      <c r="BF26" s="3" t="s">
        <v>393</v>
      </c>
    </row>
    <row r="27" spans="1:58" ht="36.75" customHeight="1" x14ac:dyDescent="0.25">
      <c r="A27" s="7" t="s">
        <v>62</v>
      </c>
      <c r="B27" s="2" t="s">
        <v>57</v>
      </c>
      <c r="C27" s="2" t="s">
        <v>58</v>
      </c>
      <c r="D27" s="2" t="s">
        <v>394</v>
      </c>
      <c r="E27" s="2" t="s">
        <v>395</v>
      </c>
      <c r="F27" s="2" t="s">
        <v>396</v>
      </c>
      <c r="H27" s="3" t="s">
        <v>62</v>
      </c>
      <c r="I27" s="3" t="s">
        <v>63</v>
      </c>
      <c r="J27" s="3" t="s">
        <v>62</v>
      </c>
      <c r="K27" s="3" t="s">
        <v>62</v>
      </c>
      <c r="L27" s="3" t="s">
        <v>64</v>
      </c>
      <c r="M27" s="2" t="s">
        <v>397</v>
      </c>
      <c r="N27" s="2" t="s">
        <v>398</v>
      </c>
      <c r="O27" s="3" t="s">
        <v>276</v>
      </c>
      <c r="Q27" s="3" t="s">
        <v>68</v>
      </c>
      <c r="R27" s="3" t="s">
        <v>399</v>
      </c>
      <c r="S27" s="2" t="s">
        <v>400</v>
      </c>
      <c r="T27" s="3" t="s">
        <v>70</v>
      </c>
      <c r="U27" s="4">
        <v>2</v>
      </c>
      <c r="V27" s="4">
        <v>2</v>
      </c>
      <c r="W27" s="5" t="s">
        <v>401</v>
      </c>
      <c r="X27" s="5" t="s">
        <v>401</v>
      </c>
      <c r="Y27" s="5" t="s">
        <v>402</v>
      </c>
      <c r="Z27" s="5" t="s">
        <v>402</v>
      </c>
      <c r="AA27" s="4">
        <v>194</v>
      </c>
      <c r="AB27" s="4">
        <v>115</v>
      </c>
      <c r="AC27" s="4">
        <v>117</v>
      </c>
      <c r="AD27" s="4">
        <v>1</v>
      </c>
      <c r="AE27" s="4">
        <v>1</v>
      </c>
      <c r="AF27" s="4">
        <v>7</v>
      </c>
      <c r="AG27" s="4">
        <v>7</v>
      </c>
      <c r="AH27" s="4">
        <v>1</v>
      </c>
      <c r="AI27" s="4">
        <v>1</v>
      </c>
      <c r="AJ27" s="4">
        <v>2</v>
      </c>
      <c r="AK27" s="4">
        <v>2</v>
      </c>
      <c r="AL27" s="4">
        <v>4</v>
      </c>
      <c r="AM27" s="4">
        <v>4</v>
      </c>
      <c r="AN27" s="4">
        <v>0</v>
      </c>
      <c r="AO27" s="4">
        <v>0</v>
      </c>
      <c r="AP27" s="4">
        <v>1</v>
      </c>
      <c r="AQ27" s="4">
        <v>1</v>
      </c>
      <c r="AR27" s="3" t="s">
        <v>62</v>
      </c>
      <c r="AS27" s="3" t="s">
        <v>84</v>
      </c>
      <c r="AT27" s="6" t="str">
        <f>HYPERLINK("http://catalog.hathitrust.org/Record/102085034","HathiTrust Record")</f>
        <v>HathiTrust Record</v>
      </c>
      <c r="AU27" s="6" t="str">
        <f>HYPERLINK("https://creighton-primo.hosted.exlibrisgroup.com/primo-explore/search?tab=default_tab&amp;search_scope=EVERYTHING&amp;vid=01CRU&amp;lang=en_US&amp;offset=0&amp;query=any,contains,991000953919702656","Catalog Record")</f>
        <v>Catalog Record</v>
      </c>
      <c r="AV27" s="6" t="str">
        <f>HYPERLINK("http://www.worldcat.org/oclc/14696427","WorldCat Record")</f>
        <v>WorldCat Record</v>
      </c>
      <c r="AW27" s="3" t="s">
        <v>403</v>
      </c>
      <c r="AX27" s="3" t="s">
        <v>404</v>
      </c>
      <c r="AY27" s="3" t="s">
        <v>405</v>
      </c>
      <c r="AZ27" s="3" t="s">
        <v>405</v>
      </c>
      <c r="BA27" s="3" t="s">
        <v>406</v>
      </c>
      <c r="BB27" s="3" t="s">
        <v>77</v>
      </c>
      <c r="BD27" s="3" t="s">
        <v>407</v>
      </c>
      <c r="BE27" s="3" t="s">
        <v>408</v>
      </c>
      <c r="BF27" s="3" t="s">
        <v>409</v>
      </c>
    </row>
    <row r="28" spans="1:58" ht="36.75" customHeight="1" x14ac:dyDescent="0.25">
      <c r="A28" s="7" t="s">
        <v>62</v>
      </c>
      <c r="B28" s="2" t="s">
        <v>57</v>
      </c>
      <c r="C28" s="2" t="s">
        <v>58</v>
      </c>
      <c r="D28" s="2" t="s">
        <v>410</v>
      </c>
      <c r="E28" s="2" t="s">
        <v>411</v>
      </c>
      <c r="F28" s="2" t="s">
        <v>412</v>
      </c>
      <c r="H28" s="3" t="s">
        <v>62</v>
      </c>
      <c r="I28" s="3" t="s">
        <v>63</v>
      </c>
      <c r="J28" s="3" t="s">
        <v>62</v>
      </c>
      <c r="K28" s="3" t="s">
        <v>62</v>
      </c>
      <c r="L28" s="3" t="s">
        <v>64</v>
      </c>
      <c r="M28" s="2" t="s">
        <v>413</v>
      </c>
      <c r="N28" s="2" t="s">
        <v>414</v>
      </c>
      <c r="O28" s="3" t="s">
        <v>415</v>
      </c>
      <c r="Q28" s="3" t="s">
        <v>68</v>
      </c>
      <c r="R28" s="3" t="s">
        <v>359</v>
      </c>
      <c r="T28" s="3" t="s">
        <v>70</v>
      </c>
      <c r="U28" s="4">
        <v>5</v>
      </c>
      <c r="V28" s="4">
        <v>5</v>
      </c>
      <c r="W28" s="5" t="s">
        <v>416</v>
      </c>
      <c r="X28" s="5" t="s">
        <v>416</v>
      </c>
      <c r="Y28" s="5" t="s">
        <v>72</v>
      </c>
      <c r="Z28" s="5" t="s">
        <v>72</v>
      </c>
      <c r="AA28" s="4">
        <v>375</v>
      </c>
      <c r="AB28" s="4">
        <v>237</v>
      </c>
      <c r="AC28" s="4">
        <v>797</v>
      </c>
      <c r="AD28" s="4">
        <v>2</v>
      </c>
      <c r="AE28" s="4">
        <v>6</v>
      </c>
      <c r="AF28" s="4">
        <v>13</v>
      </c>
      <c r="AG28" s="4">
        <v>39</v>
      </c>
      <c r="AH28" s="4">
        <v>3</v>
      </c>
      <c r="AI28" s="4">
        <v>17</v>
      </c>
      <c r="AJ28" s="4">
        <v>4</v>
      </c>
      <c r="AK28" s="4">
        <v>7</v>
      </c>
      <c r="AL28" s="4">
        <v>9</v>
      </c>
      <c r="AM28" s="4">
        <v>19</v>
      </c>
      <c r="AN28" s="4">
        <v>1</v>
      </c>
      <c r="AO28" s="4">
        <v>5</v>
      </c>
      <c r="AP28" s="4">
        <v>0</v>
      </c>
      <c r="AQ28" s="4">
        <v>0</v>
      </c>
      <c r="AR28" s="3" t="s">
        <v>62</v>
      </c>
      <c r="AS28" s="3" t="s">
        <v>84</v>
      </c>
      <c r="AT28" s="6" t="str">
        <f>HYPERLINK("http://catalog.hathitrust.org/Record/003032265","HathiTrust Record")</f>
        <v>HathiTrust Record</v>
      </c>
      <c r="AU28" s="6" t="str">
        <f>HYPERLINK("https://creighton-primo.hosted.exlibrisgroup.com/primo-explore/search?tab=default_tab&amp;search_scope=EVERYTHING&amp;vid=01CRU&amp;lang=en_US&amp;offset=0&amp;query=any,contains,991003415639702656","Catalog Record")</f>
        <v>Catalog Record</v>
      </c>
      <c r="AV28" s="6" t="str">
        <f>HYPERLINK("http://www.worldcat.org/oclc/954847","WorldCat Record")</f>
        <v>WorldCat Record</v>
      </c>
      <c r="AW28" s="3" t="s">
        <v>417</v>
      </c>
      <c r="AX28" s="3" t="s">
        <v>418</v>
      </c>
      <c r="AY28" s="3" t="s">
        <v>419</v>
      </c>
      <c r="AZ28" s="3" t="s">
        <v>419</v>
      </c>
      <c r="BA28" s="3" t="s">
        <v>420</v>
      </c>
      <c r="BB28" s="3" t="s">
        <v>77</v>
      </c>
      <c r="BE28" s="3" t="s">
        <v>421</v>
      </c>
      <c r="BF28" s="3" t="s">
        <v>422</v>
      </c>
    </row>
    <row r="29" spans="1:58" ht="36.75" customHeight="1" x14ac:dyDescent="0.25">
      <c r="A29" s="7" t="s">
        <v>62</v>
      </c>
      <c r="B29" s="2" t="s">
        <v>57</v>
      </c>
      <c r="C29" s="2" t="s">
        <v>58</v>
      </c>
      <c r="D29" s="2" t="s">
        <v>423</v>
      </c>
      <c r="E29" s="2" t="s">
        <v>424</v>
      </c>
      <c r="F29" s="2" t="s">
        <v>425</v>
      </c>
      <c r="H29" s="3" t="s">
        <v>62</v>
      </c>
      <c r="I29" s="3" t="s">
        <v>63</v>
      </c>
      <c r="J29" s="3" t="s">
        <v>62</v>
      </c>
      <c r="K29" s="3" t="s">
        <v>62</v>
      </c>
      <c r="L29" s="3" t="s">
        <v>64</v>
      </c>
      <c r="M29" s="2" t="s">
        <v>426</v>
      </c>
      <c r="N29" s="2" t="s">
        <v>427</v>
      </c>
      <c r="O29" s="3" t="s">
        <v>428</v>
      </c>
      <c r="Q29" s="3" t="s">
        <v>68</v>
      </c>
      <c r="R29" s="3" t="s">
        <v>69</v>
      </c>
      <c r="T29" s="3" t="s">
        <v>70</v>
      </c>
      <c r="U29" s="4">
        <v>2</v>
      </c>
      <c r="V29" s="4">
        <v>2</v>
      </c>
      <c r="W29" s="5" t="s">
        <v>429</v>
      </c>
      <c r="X29" s="5" t="s">
        <v>429</v>
      </c>
      <c r="Y29" s="5" t="s">
        <v>72</v>
      </c>
      <c r="Z29" s="5" t="s">
        <v>72</v>
      </c>
      <c r="AA29" s="4">
        <v>76</v>
      </c>
      <c r="AB29" s="4">
        <v>69</v>
      </c>
      <c r="AC29" s="4">
        <v>427</v>
      </c>
      <c r="AD29" s="4">
        <v>2</v>
      </c>
      <c r="AE29" s="4">
        <v>4</v>
      </c>
      <c r="AF29" s="4">
        <v>6</v>
      </c>
      <c r="AG29" s="4">
        <v>28</v>
      </c>
      <c r="AH29" s="4">
        <v>1</v>
      </c>
      <c r="AI29" s="4">
        <v>11</v>
      </c>
      <c r="AJ29" s="4">
        <v>2</v>
      </c>
      <c r="AK29" s="4">
        <v>6</v>
      </c>
      <c r="AL29" s="4">
        <v>2</v>
      </c>
      <c r="AM29" s="4">
        <v>16</v>
      </c>
      <c r="AN29" s="4">
        <v>1</v>
      </c>
      <c r="AO29" s="4">
        <v>2</v>
      </c>
      <c r="AP29" s="4">
        <v>0</v>
      </c>
      <c r="AQ29" s="4">
        <v>0</v>
      </c>
      <c r="AR29" s="3" t="s">
        <v>62</v>
      </c>
      <c r="AS29" s="3" t="s">
        <v>62</v>
      </c>
      <c r="AU29" s="6" t="str">
        <f>HYPERLINK("https://creighton-primo.hosted.exlibrisgroup.com/primo-explore/search?tab=default_tab&amp;search_scope=EVERYTHING&amp;vid=01CRU&amp;lang=en_US&amp;offset=0&amp;query=any,contains,991003618279702656","Catalog Record")</f>
        <v>Catalog Record</v>
      </c>
      <c r="AV29" s="6" t="str">
        <f>HYPERLINK("http://www.worldcat.org/oclc/1204930","WorldCat Record")</f>
        <v>WorldCat Record</v>
      </c>
      <c r="AW29" s="3" t="s">
        <v>430</v>
      </c>
      <c r="AX29" s="3" t="s">
        <v>431</v>
      </c>
      <c r="AY29" s="3" t="s">
        <v>432</v>
      </c>
      <c r="AZ29" s="3" t="s">
        <v>432</v>
      </c>
      <c r="BA29" s="3" t="s">
        <v>433</v>
      </c>
      <c r="BB29" s="3" t="s">
        <v>77</v>
      </c>
      <c r="BE29" s="3" t="s">
        <v>434</v>
      </c>
      <c r="BF29" s="3" t="s">
        <v>435</v>
      </c>
    </row>
    <row r="30" spans="1:58" ht="36.75" customHeight="1" x14ac:dyDescent="0.25">
      <c r="A30" s="7" t="s">
        <v>62</v>
      </c>
      <c r="B30" s="2" t="s">
        <v>57</v>
      </c>
      <c r="C30" s="2" t="s">
        <v>58</v>
      </c>
      <c r="D30" s="2" t="s">
        <v>436</v>
      </c>
      <c r="E30" s="2" t="s">
        <v>437</v>
      </c>
      <c r="F30" s="2" t="s">
        <v>438</v>
      </c>
      <c r="H30" s="3" t="s">
        <v>84</v>
      </c>
      <c r="I30" s="3" t="s">
        <v>63</v>
      </c>
      <c r="J30" s="3" t="s">
        <v>62</v>
      </c>
      <c r="K30" s="3" t="s">
        <v>62</v>
      </c>
      <c r="L30" s="3" t="s">
        <v>64</v>
      </c>
      <c r="N30" s="2" t="s">
        <v>439</v>
      </c>
      <c r="O30" s="3" t="s">
        <v>440</v>
      </c>
      <c r="Q30" s="3" t="s">
        <v>68</v>
      </c>
      <c r="R30" s="3" t="s">
        <v>441</v>
      </c>
      <c r="S30" s="2" t="s">
        <v>442</v>
      </c>
      <c r="T30" s="3" t="s">
        <v>70</v>
      </c>
      <c r="U30" s="4">
        <v>1</v>
      </c>
      <c r="V30" s="4">
        <v>1</v>
      </c>
      <c r="W30" s="5" t="s">
        <v>443</v>
      </c>
      <c r="X30" s="5" t="s">
        <v>443</v>
      </c>
      <c r="Y30" s="5" t="s">
        <v>443</v>
      </c>
      <c r="Z30" s="5" t="s">
        <v>443</v>
      </c>
      <c r="AA30" s="4">
        <v>261</v>
      </c>
      <c r="AB30" s="4">
        <v>214</v>
      </c>
      <c r="AC30" s="4">
        <v>246</v>
      </c>
      <c r="AD30" s="4">
        <v>2</v>
      </c>
      <c r="AE30" s="4">
        <v>2</v>
      </c>
      <c r="AF30" s="4">
        <v>17</v>
      </c>
      <c r="AG30" s="4">
        <v>18</v>
      </c>
      <c r="AH30" s="4">
        <v>6</v>
      </c>
      <c r="AI30" s="4">
        <v>7</v>
      </c>
      <c r="AJ30" s="4">
        <v>4</v>
      </c>
      <c r="AK30" s="4">
        <v>4</v>
      </c>
      <c r="AL30" s="4">
        <v>10</v>
      </c>
      <c r="AM30" s="4">
        <v>11</v>
      </c>
      <c r="AN30" s="4">
        <v>1</v>
      </c>
      <c r="AO30" s="4">
        <v>1</v>
      </c>
      <c r="AP30" s="4">
        <v>0</v>
      </c>
      <c r="AQ30" s="4">
        <v>0</v>
      </c>
      <c r="AR30" s="3" t="s">
        <v>62</v>
      </c>
      <c r="AS30" s="3" t="s">
        <v>84</v>
      </c>
      <c r="AT30" s="6" t="str">
        <f>HYPERLINK("http://catalog.hathitrust.org/Record/002932808","HathiTrust Record")</f>
        <v>HathiTrust Record</v>
      </c>
      <c r="AU30" s="6" t="str">
        <f>HYPERLINK("https://creighton-primo.hosted.exlibrisgroup.com/primo-explore/search?tab=default_tab&amp;search_scope=EVERYTHING&amp;vid=01CRU&amp;lang=en_US&amp;offset=0&amp;query=any,contains,991004352229702656","Catalog Record")</f>
        <v>Catalog Record</v>
      </c>
      <c r="AV30" s="6" t="str">
        <f>HYPERLINK("http://www.worldcat.org/oclc/30914389","WorldCat Record")</f>
        <v>WorldCat Record</v>
      </c>
      <c r="AW30" s="3" t="s">
        <v>444</v>
      </c>
      <c r="AX30" s="3" t="s">
        <v>445</v>
      </c>
      <c r="AY30" s="3" t="s">
        <v>446</v>
      </c>
      <c r="AZ30" s="3" t="s">
        <v>446</v>
      </c>
      <c r="BA30" s="3" t="s">
        <v>447</v>
      </c>
      <c r="BB30" s="3" t="s">
        <v>77</v>
      </c>
      <c r="BD30" s="3" t="s">
        <v>448</v>
      </c>
      <c r="BE30" s="3" t="s">
        <v>449</v>
      </c>
      <c r="BF30" s="3" t="s">
        <v>450</v>
      </c>
    </row>
    <row r="31" spans="1:58" ht="36.75" customHeight="1" x14ac:dyDescent="0.25">
      <c r="A31" s="7" t="s">
        <v>62</v>
      </c>
      <c r="B31" s="2" t="s">
        <v>57</v>
      </c>
      <c r="C31" s="2" t="s">
        <v>58</v>
      </c>
      <c r="D31" s="2" t="s">
        <v>451</v>
      </c>
      <c r="E31" s="2" t="s">
        <v>452</v>
      </c>
      <c r="F31" s="2" t="s">
        <v>453</v>
      </c>
      <c r="H31" s="3" t="s">
        <v>62</v>
      </c>
      <c r="I31" s="3" t="s">
        <v>63</v>
      </c>
      <c r="J31" s="3" t="s">
        <v>62</v>
      </c>
      <c r="K31" s="3" t="s">
        <v>62</v>
      </c>
      <c r="L31" s="3" t="s">
        <v>64</v>
      </c>
      <c r="M31" s="2" t="s">
        <v>65</v>
      </c>
      <c r="N31" s="2" t="s">
        <v>454</v>
      </c>
      <c r="O31" s="3" t="s">
        <v>455</v>
      </c>
      <c r="Q31" s="3" t="s">
        <v>68</v>
      </c>
      <c r="R31" s="3" t="s">
        <v>69</v>
      </c>
      <c r="T31" s="3" t="s">
        <v>70</v>
      </c>
      <c r="U31" s="4">
        <v>5</v>
      </c>
      <c r="V31" s="4">
        <v>5</v>
      </c>
      <c r="W31" s="5" t="s">
        <v>456</v>
      </c>
      <c r="X31" s="5" t="s">
        <v>456</v>
      </c>
      <c r="Y31" s="5" t="s">
        <v>457</v>
      </c>
      <c r="Z31" s="5" t="s">
        <v>457</v>
      </c>
      <c r="AA31" s="4">
        <v>264</v>
      </c>
      <c r="AB31" s="4">
        <v>233</v>
      </c>
      <c r="AC31" s="4">
        <v>406</v>
      </c>
      <c r="AD31" s="4">
        <v>4</v>
      </c>
      <c r="AE31" s="4">
        <v>4</v>
      </c>
      <c r="AF31" s="4">
        <v>12</v>
      </c>
      <c r="AG31" s="4">
        <v>18</v>
      </c>
      <c r="AH31" s="4">
        <v>3</v>
      </c>
      <c r="AI31" s="4">
        <v>6</v>
      </c>
      <c r="AJ31" s="4">
        <v>3</v>
      </c>
      <c r="AK31" s="4">
        <v>5</v>
      </c>
      <c r="AL31" s="4">
        <v>5</v>
      </c>
      <c r="AM31" s="4">
        <v>6</v>
      </c>
      <c r="AN31" s="4">
        <v>3</v>
      </c>
      <c r="AO31" s="4">
        <v>3</v>
      </c>
      <c r="AP31" s="4">
        <v>0</v>
      </c>
      <c r="AQ31" s="4">
        <v>0</v>
      </c>
      <c r="AR31" s="3" t="s">
        <v>62</v>
      </c>
      <c r="AS31" s="3" t="s">
        <v>84</v>
      </c>
      <c r="AT31" s="6" t="str">
        <f>HYPERLINK("http://catalog.hathitrust.org/Record/001401842","HathiTrust Record")</f>
        <v>HathiTrust Record</v>
      </c>
      <c r="AU31" s="6" t="str">
        <f>HYPERLINK("https://creighton-primo.hosted.exlibrisgroup.com/primo-explore/search?tab=default_tab&amp;search_scope=EVERYTHING&amp;vid=01CRU&amp;lang=en_US&amp;offset=0&amp;query=any,contains,991003406439702656","Catalog Record")</f>
        <v>Catalog Record</v>
      </c>
      <c r="AV31" s="6" t="str">
        <f>HYPERLINK("http://www.worldcat.org/oclc/946256","WorldCat Record")</f>
        <v>WorldCat Record</v>
      </c>
      <c r="AW31" s="3" t="s">
        <v>458</v>
      </c>
      <c r="AX31" s="3" t="s">
        <v>459</v>
      </c>
      <c r="AY31" s="3" t="s">
        <v>460</v>
      </c>
      <c r="AZ31" s="3" t="s">
        <v>460</v>
      </c>
      <c r="BA31" s="3" t="s">
        <v>461</v>
      </c>
      <c r="BB31" s="3" t="s">
        <v>77</v>
      </c>
      <c r="BD31" s="3" t="s">
        <v>462</v>
      </c>
      <c r="BE31" s="3" t="s">
        <v>463</v>
      </c>
      <c r="BF31" s="3" t="s">
        <v>464</v>
      </c>
    </row>
    <row r="32" spans="1:58" ht="36.75" customHeight="1" x14ac:dyDescent="0.25">
      <c r="A32" s="7" t="s">
        <v>62</v>
      </c>
      <c r="B32" s="2" t="s">
        <v>57</v>
      </c>
      <c r="C32" s="2" t="s">
        <v>58</v>
      </c>
      <c r="D32" s="2" t="s">
        <v>465</v>
      </c>
      <c r="E32" s="2" t="s">
        <v>466</v>
      </c>
      <c r="F32" s="2" t="s">
        <v>467</v>
      </c>
      <c r="H32" s="3" t="s">
        <v>62</v>
      </c>
      <c r="I32" s="3" t="s">
        <v>63</v>
      </c>
      <c r="J32" s="3" t="s">
        <v>62</v>
      </c>
      <c r="K32" s="3" t="s">
        <v>62</v>
      </c>
      <c r="L32" s="3" t="s">
        <v>64</v>
      </c>
      <c r="M32" s="2" t="s">
        <v>468</v>
      </c>
      <c r="N32" s="2" t="s">
        <v>469</v>
      </c>
      <c r="O32" s="3" t="s">
        <v>470</v>
      </c>
      <c r="Q32" s="3" t="s">
        <v>68</v>
      </c>
      <c r="R32" s="3" t="s">
        <v>441</v>
      </c>
      <c r="S32" s="2" t="s">
        <v>471</v>
      </c>
      <c r="T32" s="3" t="s">
        <v>70</v>
      </c>
      <c r="U32" s="4">
        <v>6</v>
      </c>
      <c r="V32" s="4">
        <v>6</v>
      </c>
      <c r="W32" s="5" t="s">
        <v>472</v>
      </c>
      <c r="X32" s="5" t="s">
        <v>472</v>
      </c>
      <c r="Y32" s="5" t="s">
        <v>457</v>
      </c>
      <c r="Z32" s="5" t="s">
        <v>457</v>
      </c>
      <c r="AA32" s="4">
        <v>379</v>
      </c>
      <c r="AB32" s="4">
        <v>252</v>
      </c>
      <c r="AC32" s="4">
        <v>252</v>
      </c>
      <c r="AD32" s="4">
        <v>3</v>
      </c>
      <c r="AE32" s="4">
        <v>3</v>
      </c>
      <c r="AF32" s="4">
        <v>16</v>
      </c>
      <c r="AG32" s="4">
        <v>16</v>
      </c>
      <c r="AH32" s="4">
        <v>4</v>
      </c>
      <c r="AI32" s="4">
        <v>4</v>
      </c>
      <c r="AJ32" s="4">
        <v>4</v>
      </c>
      <c r="AK32" s="4">
        <v>4</v>
      </c>
      <c r="AL32" s="4">
        <v>9</v>
      </c>
      <c r="AM32" s="4">
        <v>9</v>
      </c>
      <c r="AN32" s="4">
        <v>2</v>
      </c>
      <c r="AO32" s="4">
        <v>2</v>
      </c>
      <c r="AP32" s="4">
        <v>0</v>
      </c>
      <c r="AQ32" s="4">
        <v>0</v>
      </c>
      <c r="AR32" s="3" t="s">
        <v>62</v>
      </c>
      <c r="AS32" s="3" t="s">
        <v>62</v>
      </c>
      <c r="AU32" s="6" t="str">
        <f>HYPERLINK("https://creighton-primo.hosted.exlibrisgroup.com/primo-explore/search?tab=default_tab&amp;search_scope=EVERYTHING&amp;vid=01CRU&amp;lang=en_US&amp;offset=0&amp;query=any,contains,991004316979702656","Catalog Record")</f>
        <v>Catalog Record</v>
      </c>
      <c r="AV32" s="6" t="str">
        <f>HYPERLINK("http://www.worldcat.org/oclc/3007476","WorldCat Record")</f>
        <v>WorldCat Record</v>
      </c>
      <c r="AW32" s="3" t="s">
        <v>473</v>
      </c>
      <c r="AX32" s="3" t="s">
        <v>474</v>
      </c>
      <c r="AY32" s="3" t="s">
        <v>475</v>
      </c>
      <c r="AZ32" s="3" t="s">
        <v>475</v>
      </c>
      <c r="BA32" s="3" t="s">
        <v>476</v>
      </c>
      <c r="BB32" s="3" t="s">
        <v>77</v>
      </c>
      <c r="BD32" s="3" t="s">
        <v>477</v>
      </c>
      <c r="BE32" s="3" t="s">
        <v>478</v>
      </c>
      <c r="BF32" s="3" t="s">
        <v>479</v>
      </c>
    </row>
    <row r="33" spans="1:58" ht="36.75" customHeight="1" x14ac:dyDescent="0.25">
      <c r="A33" s="7" t="s">
        <v>62</v>
      </c>
      <c r="B33" s="2" t="s">
        <v>57</v>
      </c>
      <c r="C33" s="2" t="s">
        <v>58</v>
      </c>
      <c r="D33" s="2" t="s">
        <v>480</v>
      </c>
      <c r="E33" s="2" t="s">
        <v>481</v>
      </c>
      <c r="F33" s="2" t="s">
        <v>482</v>
      </c>
      <c r="H33" s="3" t="s">
        <v>62</v>
      </c>
      <c r="I33" s="3" t="s">
        <v>63</v>
      </c>
      <c r="J33" s="3" t="s">
        <v>62</v>
      </c>
      <c r="K33" s="3" t="s">
        <v>62</v>
      </c>
      <c r="L33" s="3" t="s">
        <v>64</v>
      </c>
      <c r="M33" s="2" t="s">
        <v>483</v>
      </c>
      <c r="N33" s="2" t="s">
        <v>484</v>
      </c>
      <c r="O33" s="3" t="s">
        <v>485</v>
      </c>
      <c r="Q33" s="3" t="s">
        <v>68</v>
      </c>
      <c r="R33" s="3" t="s">
        <v>69</v>
      </c>
      <c r="T33" s="3" t="s">
        <v>70</v>
      </c>
      <c r="U33" s="4">
        <v>3</v>
      </c>
      <c r="V33" s="4">
        <v>3</v>
      </c>
      <c r="W33" s="5" t="s">
        <v>486</v>
      </c>
      <c r="X33" s="5" t="s">
        <v>486</v>
      </c>
      <c r="Y33" s="5" t="s">
        <v>457</v>
      </c>
      <c r="Z33" s="5" t="s">
        <v>457</v>
      </c>
      <c r="AA33" s="4">
        <v>30</v>
      </c>
      <c r="AB33" s="4">
        <v>17</v>
      </c>
      <c r="AC33" s="4">
        <v>971</v>
      </c>
      <c r="AD33" s="4">
        <v>1</v>
      </c>
      <c r="AE33" s="4">
        <v>6</v>
      </c>
      <c r="AF33" s="4">
        <v>0</v>
      </c>
      <c r="AG33" s="4">
        <v>39</v>
      </c>
      <c r="AH33" s="4">
        <v>0</v>
      </c>
      <c r="AI33" s="4">
        <v>17</v>
      </c>
      <c r="AJ33" s="4">
        <v>0</v>
      </c>
      <c r="AK33" s="4">
        <v>7</v>
      </c>
      <c r="AL33" s="4">
        <v>0</v>
      </c>
      <c r="AM33" s="4">
        <v>22</v>
      </c>
      <c r="AN33" s="4">
        <v>0</v>
      </c>
      <c r="AO33" s="4">
        <v>4</v>
      </c>
      <c r="AP33" s="4">
        <v>0</v>
      </c>
      <c r="AQ33" s="4">
        <v>0</v>
      </c>
      <c r="AR33" s="3" t="s">
        <v>62</v>
      </c>
      <c r="AS33" s="3" t="s">
        <v>62</v>
      </c>
      <c r="AU33" s="6" t="str">
        <f>HYPERLINK("https://creighton-primo.hosted.exlibrisgroup.com/primo-explore/search?tab=default_tab&amp;search_scope=EVERYTHING&amp;vid=01CRU&amp;lang=en_US&amp;offset=0&amp;query=any,contains,991000959709702656","Catalog Record")</f>
        <v>Catalog Record</v>
      </c>
      <c r="AV33" s="6" t="str">
        <f>HYPERLINK("http://www.worldcat.org/oclc/168968","WorldCat Record")</f>
        <v>WorldCat Record</v>
      </c>
      <c r="AW33" s="3" t="s">
        <v>487</v>
      </c>
      <c r="AX33" s="3" t="s">
        <v>488</v>
      </c>
      <c r="AY33" s="3" t="s">
        <v>489</v>
      </c>
      <c r="AZ33" s="3" t="s">
        <v>489</v>
      </c>
      <c r="BA33" s="3" t="s">
        <v>490</v>
      </c>
      <c r="BB33" s="3" t="s">
        <v>77</v>
      </c>
      <c r="BE33" s="3" t="s">
        <v>491</v>
      </c>
      <c r="BF33" s="3" t="s">
        <v>492</v>
      </c>
    </row>
    <row r="34" spans="1:58" ht="36.75" customHeight="1" x14ac:dyDescent="0.25">
      <c r="A34" s="7" t="s">
        <v>62</v>
      </c>
      <c r="B34" s="2" t="s">
        <v>57</v>
      </c>
      <c r="C34" s="2" t="s">
        <v>58</v>
      </c>
      <c r="D34" s="2" t="s">
        <v>493</v>
      </c>
      <c r="E34" s="2" t="s">
        <v>494</v>
      </c>
      <c r="F34" s="2" t="s">
        <v>495</v>
      </c>
      <c r="H34" s="3" t="s">
        <v>62</v>
      </c>
      <c r="I34" s="3" t="s">
        <v>63</v>
      </c>
      <c r="J34" s="3" t="s">
        <v>62</v>
      </c>
      <c r="K34" s="3" t="s">
        <v>62</v>
      </c>
      <c r="L34" s="3" t="s">
        <v>64</v>
      </c>
      <c r="M34" s="2" t="s">
        <v>496</v>
      </c>
      <c r="N34" s="2" t="s">
        <v>497</v>
      </c>
      <c r="O34" s="3" t="s">
        <v>498</v>
      </c>
      <c r="P34" s="2" t="s">
        <v>499</v>
      </c>
      <c r="Q34" s="3" t="s">
        <v>68</v>
      </c>
      <c r="R34" s="3" t="s">
        <v>500</v>
      </c>
      <c r="T34" s="3" t="s">
        <v>70</v>
      </c>
      <c r="U34" s="4">
        <v>2</v>
      </c>
      <c r="V34" s="4">
        <v>2</v>
      </c>
      <c r="W34" s="5" t="s">
        <v>501</v>
      </c>
      <c r="X34" s="5" t="s">
        <v>501</v>
      </c>
      <c r="Y34" s="5" t="s">
        <v>457</v>
      </c>
      <c r="Z34" s="5" t="s">
        <v>457</v>
      </c>
      <c r="AA34" s="4">
        <v>15</v>
      </c>
      <c r="AB34" s="4">
        <v>15</v>
      </c>
      <c r="AC34" s="4">
        <v>689</v>
      </c>
      <c r="AD34" s="4">
        <v>1</v>
      </c>
      <c r="AE34" s="4">
        <v>4</v>
      </c>
      <c r="AF34" s="4">
        <v>0</v>
      </c>
      <c r="AG34" s="4">
        <v>37</v>
      </c>
      <c r="AH34" s="4">
        <v>0</v>
      </c>
      <c r="AI34" s="4">
        <v>17</v>
      </c>
      <c r="AJ34" s="4">
        <v>0</v>
      </c>
      <c r="AK34" s="4">
        <v>9</v>
      </c>
      <c r="AL34" s="4">
        <v>0</v>
      </c>
      <c r="AM34" s="4">
        <v>20</v>
      </c>
      <c r="AN34" s="4">
        <v>0</v>
      </c>
      <c r="AO34" s="4">
        <v>1</v>
      </c>
      <c r="AP34" s="4">
        <v>0</v>
      </c>
      <c r="AQ34" s="4">
        <v>0</v>
      </c>
      <c r="AR34" s="3" t="s">
        <v>62</v>
      </c>
      <c r="AS34" s="3" t="s">
        <v>62</v>
      </c>
      <c r="AU34" s="6" t="str">
        <f>HYPERLINK("https://creighton-primo.hosted.exlibrisgroup.com/primo-explore/search?tab=default_tab&amp;search_scope=EVERYTHING&amp;vid=01CRU&amp;lang=en_US&amp;offset=0&amp;query=any,contains,991004080499702656","Catalog Record")</f>
        <v>Catalog Record</v>
      </c>
      <c r="AV34" s="6" t="str">
        <f>HYPERLINK("http://www.worldcat.org/oclc/2326920","WorldCat Record")</f>
        <v>WorldCat Record</v>
      </c>
      <c r="AW34" s="3" t="s">
        <v>502</v>
      </c>
      <c r="AX34" s="3" t="s">
        <v>503</v>
      </c>
      <c r="AY34" s="3" t="s">
        <v>504</v>
      </c>
      <c r="AZ34" s="3" t="s">
        <v>504</v>
      </c>
      <c r="BA34" s="3" t="s">
        <v>505</v>
      </c>
      <c r="BB34" s="3" t="s">
        <v>77</v>
      </c>
      <c r="BE34" s="3" t="s">
        <v>506</v>
      </c>
      <c r="BF34" s="3" t="s">
        <v>507</v>
      </c>
    </row>
    <row r="35" spans="1:58" ht="36.75" customHeight="1" x14ac:dyDescent="0.25">
      <c r="A35" s="7" t="s">
        <v>62</v>
      </c>
      <c r="B35" s="2" t="s">
        <v>57</v>
      </c>
      <c r="C35" s="2" t="s">
        <v>58</v>
      </c>
      <c r="D35" s="2" t="s">
        <v>508</v>
      </c>
      <c r="E35" s="2" t="s">
        <v>509</v>
      </c>
      <c r="F35" s="2" t="s">
        <v>510</v>
      </c>
      <c r="H35" s="3" t="s">
        <v>62</v>
      </c>
      <c r="I35" s="3" t="s">
        <v>63</v>
      </c>
      <c r="J35" s="3" t="s">
        <v>62</v>
      </c>
      <c r="K35" s="3" t="s">
        <v>62</v>
      </c>
      <c r="L35" s="3" t="s">
        <v>64</v>
      </c>
      <c r="M35" s="2" t="s">
        <v>511</v>
      </c>
      <c r="N35" s="2" t="s">
        <v>512</v>
      </c>
      <c r="O35" s="3" t="s">
        <v>243</v>
      </c>
      <c r="Q35" s="3" t="s">
        <v>68</v>
      </c>
      <c r="R35" s="3" t="s">
        <v>513</v>
      </c>
      <c r="T35" s="3" t="s">
        <v>70</v>
      </c>
      <c r="U35" s="4">
        <v>3</v>
      </c>
      <c r="V35" s="4">
        <v>3</v>
      </c>
      <c r="W35" s="5" t="s">
        <v>514</v>
      </c>
      <c r="X35" s="5" t="s">
        <v>514</v>
      </c>
      <c r="Y35" s="5" t="s">
        <v>457</v>
      </c>
      <c r="Z35" s="5" t="s">
        <v>457</v>
      </c>
      <c r="AA35" s="4">
        <v>723</v>
      </c>
      <c r="AB35" s="4">
        <v>619</v>
      </c>
      <c r="AC35" s="4">
        <v>643</v>
      </c>
      <c r="AD35" s="4">
        <v>5</v>
      </c>
      <c r="AE35" s="4">
        <v>5</v>
      </c>
      <c r="AF35" s="4">
        <v>39</v>
      </c>
      <c r="AG35" s="4">
        <v>39</v>
      </c>
      <c r="AH35" s="4">
        <v>17</v>
      </c>
      <c r="AI35" s="4">
        <v>17</v>
      </c>
      <c r="AJ35" s="4">
        <v>7</v>
      </c>
      <c r="AK35" s="4">
        <v>7</v>
      </c>
      <c r="AL35" s="4">
        <v>20</v>
      </c>
      <c r="AM35" s="4">
        <v>20</v>
      </c>
      <c r="AN35" s="4">
        <v>4</v>
      </c>
      <c r="AO35" s="4">
        <v>4</v>
      </c>
      <c r="AP35" s="4">
        <v>0</v>
      </c>
      <c r="AQ35" s="4">
        <v>0</v>
      </c>
      <c r="AR35" s="3" t="s">
        <v>62</v>
      </c>
      <c r="AS35" s="3" t="s">
        <v>62</v>
      </c>
      <c r="AU35" s="6" t="str">
        <f>HYPERLINK("https://creighton-primo.hosted.exlibrisgroup.com/primo-explore/search?tab=default_tab&amp;search_scope=EVERYTHING&amp;vid=01CRU&amp;lang=en_US&amp;offset=0&amp;query=any,contains,991005010049702656","Catalog Record")</f>
        <v>Catalog Record</v>
      </c>
      <c r="AV35" s="6" t="str">
        <f>HYPERLINK("http://www.worldcat.org/oclc/6598347","WorldCat Record")</f>
        <v>WorldCat Record</v>
      </c>
      <c r="AW35" s="3" t="s">
        <v>515</v>
      </c>
      <c r="AX35" s="3" t="s">
        <v>516</v>
      </c>
      <c r="AY35" s="3" t="s">
        <v>517</v>
      </c>
      <c r="AZ35" s="3" t="s">
        <v>517</v>
      </c>
      <c r="BA35" s="3" t="s">
        <v>518</v>
      </c>
      <c r="BB35" s="3" t="s">
        <v>77</v>
      </c>
      <c r="BD35" s="3" t="s">
        <v>519</v>
      </c>
      <c r="BE35" s="3" t="s">
        <v>520</v>
      </c>
      <c r="BF35" s="3" t="s">
        <v>521</v>
      </c>
    </row>
    <row r="36" spans="1:58" ht="36.75" customHeight="1" x14ac:dyDescent="0.25">
      <c r="A36" s="7" t="s">
        <v>62</v>
      </c>
      <c r="B36" s="2" t="s">
        <v>57</v>
      </c>
      <c r="C36" s="2" t="s">
        <v>58</v>
      </c>
      <c r="D36" s="2" t="s">
        <v>522</v>
      </c>
      <c r="E36" s="2" t="s">
        <v>523</v>
      </c>
      <c r="F36" s="2" t="s">
        <v>524</v>
      </c>
      <c r="H36" s="3" t="s">
        <v>62</v>
      </c>
      <c r="I36" s="3" t="s">
        <v>63</v>
      </c>
      <c r="J36" s="3" t="s">
        <v>62</v>
      </c>
      <c r="K36" s="3" t="s">
        <v>62</v>
      </c>
      <c r="L36" s="3" t="s">
        <v>64</v>
      </c>
      <c r="M36" s="2" t="s">
        <v>525</v>
      </c>
      <c r="N36" s="2" t="s">
        <v>526</v>
      </c>
      <c r="O36" s="3" t="s">
        <v>190</v>
      </c>
      <c r="Q36" s="3" t="s">
        <v>68</v>
      </c>
      <c r="R36" s="3" t="s">
        <v>69</v>
      </c>
      <c r="S36" s="2" t="s">
        <v>527</v>
      </c>
      <c r="T36" s="3" t="s">
        <v>70</v>
      </c>
      <c r="U36" s="4">
        <v>5</v>
      </c>
      <c r="V36" s="4">
        <v>5</v>
      </c>
      <c r="W36" s="5" t="s">
        <v>528</v>
      </c>
      <c r="X36" s="5" t="s">
        <v>528</v>
      </c>
      <c r="Y36" s="5" t="s">
        <v>457</v>
      </c>
      <c r="Z36" s="5" t="s">
        <v>457</v>
      </c>
      <c r="AA36" s="4">
        <v>446</v>
      </c>
      <c r="AB36" s="4">
        <v>415</v>
      </c>
      <c r="AC36" s="4">
        <v>422</v>
      </c>
      <c r="AD36" s="4">
        <v>5</v>
      </c>
      <c r="AE36" s="4">
        <v>5</v>
      </c>
      <c r="AF36" s="4">
        <v>29</v>
      </c>
      <c r="AG36" s="4">
        <v>29</v>
      </c>
      <c r="AH36" s="4">
        <v>10</v>
      </c>
      <c r="AI36" s="4">
        <v>10</v>
      </c>
      <c r="AJ36" s="4">
        <v>5</v>
      </c>
      <c r="AK36" s="4">
        <v>5</v>
      </c>
      <c r="AL36" s="4">
        <v>16</v>
      </c>
      <c r="AM36" s="4">
        <v>16</v>
      </c>
      <c r="AN36" s="4">
        <v>3</v>
      </c>
      <c r="AO36" s="4">
        <v>3</v>
      </c>
      <c r="AP36" s="4">
        <v>0</v>
      </c>
      <c r="AQ36" s="4">
        <v>0</v>
      </c>
      <c r="AR36" s="3" t="s">
        <v>62</v>
      </c>
      <c r="AS36" s="3" t="s">
        <v>84</v>
      </c>
      <c r="AT36" s="6" t="str">
        <f>HYPERLINK("http://catalog.hathitrust.org/Record/101738445","HathiTrust Record")</f>
        <v>HathiTrust Record</v>
      </c>
      <c r="AU36" s="6" t="str">
        <f>HYPERLINK("https://creighton-primo.hosted.exlibrisgroup.com/primo-explore/search?tab=default_tab&amp;search_scope=EVERYTHING&amp;vid=01CRU&amp;lang=en_US&amp;offset=0&amp;query=any,contains,991002644329702656","Catalog Record")</f>
        <v>Catalog Record</v>
      </c>
      <c r="AV36" s="6" t="str">
        <f>HYPERLINK("http://www.worldcat.org/oclc/385291","WorldCat Record")</f>
        <v>WorldCat Record</v>
      </c>
      <c r="AW36" s="3" t="s">
        <v>529</v>
      </c>
      <c r="AX36" s="3" t="s">
        <v>530</v>
      </c>
      <c r="AY36" s="3" t="s">
        <v>531</v>
      </c>
      <c r="AZ36" s="3" t="s">
        <v>531</v>
      </c>
      <c r="BA36" s="3" t="s">
        <v>532</v>
      </c>
      <c r="BB36" s="3" t="s">
        <v>77</v>
      </c>
      <c r="BE36" s="3" t="s">
        <v>533</v>
      </c>
      <c r="BF36" s="3" t="s">
        <v>534</v>
      </c>
    </row>
    <row r="37" spans="1:58" ht="36.75" customHeight="1" x14ac:dyDescent="0.25">
      <c r="A37" s="7" t="s">
        <v>62</v>
      </c>
      <c r="B37" s="2" t="s">
        <v>57</v>
      </c>
      <c r="C37" s="2" t="s">
        <v>58</v>
      </c>
      <c r="D37" s="2" t="s">
        <v>535</v>
      </c>
      <c r="E37" s="2" t="s">
        <v>536</v>
      </c>
      <c r="F37" s="2" t="s">
        <v>537</v>
      </c>
      <c r="H37" s="3" t="s">
        <v>62</v>
      </c>
      <c r="I37" s="3" t="s">
        <v>63</v>
      </c>
      <c r="J37" s="3" t="s">
        <v>62</v>
      </c>
      <c r="K37" s="3" t="s">
        <v>62</v>
      </c>
      <c r="L37" s="3" t="s">
        <v>64</v>
      </c>
      <c r="M37" s="2" t="s">
        <v>538</v>
      </c>
      <c r="N37" s="2" t="s">
        <v>539</v>
      </c>
      <c r="O37" s="3" t="s">
        <v>470</v>
      </c>
      <c r="Q37" s="3" t="s">
        <v>68</v>
      </c>
      <c r="R37" s="3" t="s">
        <v>203</v>
      </c>
      <c r="T37" s="3" t="s">
        <v>70</v>
      </c>
      <c r="U37" s="4">
        <v>4</v>
      </c>
      <c r="V37" s="4">
        <v>4</v>
      </c>
      <c r="W37" s="5" t="s">
        <v>540</v>
      </c>
      <c r="X37" s="5" t="s">
        <v>540</v>
      </c>
      <c r="Y37" s="5" t="s">
        <v>541</v>
      </c>
      <c r="Z37" s="5" t="s">
        <v>541</v>
      </c>
      <c r="AA37" s="4">
        <v>315</v>
      </c>
      <c r="AB37" s="4">
        <v>235</v>
      </c>
      <c r="AC37" s="4">
        <v>238</v>
      </c>
      <c r="AD37" s="4">
        <v>1</v>
      </c>
      <c r="AE37" s="4">
        <v>1</v>
      </c>
      <c r="AF37" s="4">
        <v>8</v>
      </c>
      <c r="AG37" s="4">
        <v>8</v>
      </c>
      <c r="AH37" s="4">
        <v>2</v>
      </c>
      <c r="AI37" s="4">
        <v>2</v>
      </c>
      <c r="AJ37" s="4">
        <v>4</v>
      </c>
      <c r="AK37" s="4">
        <v>4</v>
      </c>
      <c r="AL37" s="4">
        <v>4</v>
      </c>
      <c r="AM37" s="4">
        <v>4</v>
      </c>
      <c r="AN37" s="4">
        <v>0</v>
      </c>
      <c r="AO37" s="4">
        <v>0</v>
      </c>
      <c r="AP37" s="4">
        <v>0</v>
      </c>
      <c r="AQ37" s="4">
        <v>0</v>
      </c>
      <c r="AR37" s="3" t="s">
        <v>62</v>
      </c>
      <c r="AS37" s="3" t="s">
        <v>84</v>
      </c>
      <c r="AT37" s="6" t="str">
        <f>HYPERLINK("http://catalog.hathitrust.org/Record/000088822","HathiTrust Record")</f>
        <v>HathiTrust Record</v>
      </c>
      <c r="AU37" s="6" t="str">
        <f>HYPERLINK("https://creighton-primo.hosted.exlibrisgroup.com/primo-explore/search?tab=default_tab&amp;search_scope=EVERYTHING&amp;vid=01CRU&amp;lang=en_US&amp;offset=0&amp;query=any,contains,991004455539702656","Catalog Record")</f>
        <v>Catalog Record</v>
      </c>
      <c r="AV37" s="6" t="str">
        <f>HYPERLINK("http://www.worldcat.org/oclc/3523824","WorldCat Record")</f>
        <v>WorldCat Record</v>
      </c>
      <c r="AW37" s="3" t="s">
        <v>542</v>
      </c>
      <c r="AX37" s="3" t="s">
        <v>543</v>
      </c>
      <c r="AY37" s="3" t="s">
        <v>544</v>
      </c>
      <c r="AZ37" s="3" t="s">
        <v>544</v>
      </c>
      <c r="BA37" s="3" t="s">
        <v>545</v>
      </c>
      <c r="BB37" s="3" t="s">
        <v>77</v>
      </c>
      <c r="BE37" s="3" t="s">
        <v>546</v>
      </c>
      <c r="BF37" s="3" t="s">
        <v>547</v>
      </c>
    </row>
    <row r="38" spans="1:58" ht="36.75" customHeight="1" x14ac:dyDescent="0.25">
      <c r="A38" s="7" t="s">
        <v>62</v>
      </c>
      <c r="B38" s="2" t="s">
        <v>57</v>
      </c>
      <c r="C38" s="2" t="s">
        <v>58</v>
      </c>
      <c r="D38" s="2" t="s">
        <v>548</v>
      </c>
      <c r="E38" s="2" t="s">
        <v>549</v>
      </c>
      <c r="F38" s="2" t="s">
        <v>550</v>
      </c>
      <c r="H38" s="3" t="s">
        <v>84</v>
      </c>
      <c r="I38" s="3" t="s">
        <v>63</v>
      </c>
      <c r="J38" s="3" t="s">
        <v>84</v>
      </c>
      <c r="K38" s="3" t="s">
        <v>84</v>
      </c>
      <c r="L38" s="3" t="s">
        <v>64</v>
      </c>
      <c r="M38" s="2" t="s">
        <v>551</v>
      </c>
      <c r="N38" s="2" t="s">
        <v>552</v>
      </c>
      <c r="O38" s="3" t="s">
        <v>553</v>
      </c>
      <c r="Q38" s="3" t="s">
        <v>68</v>
      </c>
      <c r="R38" s="3" t="s">
        <v>87</v>
      </c>
      <c r="S38" s="2" t="s">
        <v>554</v>
      </c>
      <c r="T38" s="3" t="s">
        <v>70</v>
      </c>
      <c r="U38" s="4">
        <v>4</v>
      </c>
      <c r="V38" s="4">
        <v>7</v>
      </c>
      <c r="W38" s="5" t="s">
        <v>555</v>
      </c>
      <c r="X38" s="5" t="s">
        <v>555</v>
      </c>
      <c r="Y38" s="5" t="s">
        <v>457</v>
      </c>
      <c r="Z38" s="5" t="s">
        <v>457</v>
      </c>
      <c r="AA38" s="4">
        <v>189</v>
      </c>
      <c r="AB38" s="4">
        <v>158</v>
      </c>
      <c r="AC38" s="4">
        <v>1105</v>
      </c>
      <c r="AD38" s="4">
        <v>2</v>
      </c>
      <c r="AE38" s="4">
        <v>12</v>
      </c>
      <c r="AF38" s="4">
        <v>13</v>
      </c>
      <c r="AG38" s="4">
        <v>54</v>
      </c>
      <c r="AH38" s="4">
        <v>4</v>
      </c>
      <c r="AI38" s="4">
        <v>21</v>
      </c>
      <c r="AJ38" s="4">
        <v>5</v>
      </c>
      <c r="AK38" s="4">
        <v>11</v>
      </c>
      <c r="AL38" s="4">
        <v>7</v>
      </c>
      <c r="AM38" s="4">
        <v>27</v>
      </c>
      <c r="AN38" s="4">
        <v>0</v>
      </c>
      <c r="AO38" s="4">
        <v>8</v>
      </c>
      <c r="AP38" s="4">
        <v>0</v>
      </c>
      <c r="AQ38" s="4">
        <v>1</v>
      </c>
      <c r="AR38" s="3" t="s">
        <v>62</v>
      </c>
      <c r="AS38" s="3" t="s">
        <v>62</v>
      </c>
      <c r="AU38" s="6" t="str">
        <f>HYPERLINK("https://creighton-primo.hosted.exlibrisgroup.com/primo-explore/search?tab=default_tab&amp;search_scope=EVERYTHING&amp;vid=01CRU&amp;lang=en_US&amp;offset=0&amp;query=any,contains,991000782079702656","Catalog Record")</f>
        <v>Catalog Record</v>
      </c>
      <c r="AV38" s="6" t="str">
        <f>HYPERLINK("http://www.worldcat.org/oclc/135347","WorldCat Record")</f>
        <v>WorldCat Record</v>
      </c>
      <c r="AW38" s="3" t="s">
        <v>556</v>
      </c>
      <c r="AX38" s="3" t="s">
        <v>557</v>
      </c>
      <c r="AY38" s="3" t="s">
        <v>558</v>
      </c>
      <c r="AZ38" s="3" t="s">
        <v>558</v>
      </c>
      <c r="BA38" s="3" t="s">
        <v>559</v>
      </c>
      <c r="BB38" s="3" t="s">
        <v>77</v>
      </c>
      <c r="BD38" s="3" t="s">
        <v>560</v>
      </c>
      <c r="BE38" s="3" t="s">
        <v>561</v>
      </c>
      <c r="BF38" s="3" t="s">
        <v>562</v>
      </c>
    </row>
    <row r="39" spans="1:58" ht="36.75" customHeight="1" x14ac:dyDescent="0.25">
      <c r="A39" s="7" t="s">
        <v>62</v>
      </c>
      <c r="B39" s="2" t="s">
        <v>57</v>
      </c>
      <c r="C39" s="2" t="s">
        <v>58</v>
      </c>
      <c r="D39" s="2" t="s">
        <v>563</v>
      </c>
      <c r="E39" s="2" t="s">
        <v>564</v>
      </c>
      <c r="F39" s="2" t="s">
        <v>550</v>
      </c>
      <c r="G39" s="3" t="s">
        <v>565</v>
      </c>
      <c r="H39" s="3" t="s">
        <v>84</v>
      </c>
      <c r="I39" s="3" t="s">
        <v>63</v>
      </c>
      <c r="J39" s="3" t="s">
        <v>62</v>
      </c>
      <c r="K39" s="3" t="s">
        <v>84</v>
      </c>
      <c r="L39" s="3" t="s">
        <v>64</v>
      </c>
      <c r="M39" s="2" t="s">
        <v>551</v>
      </c>
      <c r="N39" s="2" t="s">
        <v>552</v>
      </c>
      <c r="O39" s="3" t="s">
        <v>553</v>
      </c>
      <c r="Q39" s="3" t="s">
        <v>68</v>
      </c>
      <c r="R39" s="3" t="s">
        <v>87</v>
      </c>
      <c r="S39" s="2" t="s">
        <v>554</v>
      </c>
      <c r="T39" s="3" t="s">
        <v>70</v>
      </c>
      <c r="U39" s="4">
        <v>3</v>
      </c>
      <c r="V39" s="4">
        <v>7</v>
      </c>
      <c r="W39" s="5" t="s">
        <v>555</v>
      </c>
      <c r="X39" s="5" t="s">
        <v>555</v>
      </c>
      <c r="Y39" s="5" t="s">
        <v>457</v>
      </c>
      <c r="Z39" s="5" t="s">
        <v>457</v>
      </c>
      <c r="AA39" s="4">
        <v>189</v>
      </c>
      <c r="AB39" s="4">
        <v>158</v>
      </c>
      <c r="AC39" s="4">
        <v>1105</v>
      </c>
      <c r="AD39" s="4">
        <v>2</v>
      </c>
      <c r="AE39" s="4">
        <v>12</v>
      </c>
      <c r="AF39" s="4">
        <v>13</v>
      </c>
      <c r="AG39" s="4">
        <v>54</v>
      </c>
      <c r="AH39" s="4">
        <v>4</v>
      </c>
      <c r="AI39" s="4">
        <v>21</v>
      </c>
      <c r="AJ39" s="4">
        <v>5</v>
      </c>
      <c r="AK39" s="4">
        <v>11</v>
      </c>
      <c r="AL39" s="4">
        <v>7</v>
      </c>
      <c r="AM39" s="4">
        <v>27</v>
      </c>
      <c r="AN39" s="4">
        <v>0</v>
      </c>
      <c r="AO39" s="4">
        <v>8</v>
      </c>
      <c r="AP39" s="4">
        <v>0</v>
      </c>
      <c r="AQ39" s="4">
        <v>1</v>
      </c>
      <c r="AR39" s="3" t="s">
        <v>62</v>
      </c>
      <c r="AS39" s="3" t="s">
        <v>62</v>
      </c>
      <c r="AU39" s="6" t="str">
        <f>HYPERLINK("https://creighton-primo.hosted.exlibrisgroup.com/primo-explore/search?tab=default_tab&amp;search_scope=EVERYTHING&amp;vid=01CRU&amp;lang=en_US&amp;offset=0&amp;query=any,contains,991000782079702656","Catalog Record")</f>
        <v>Catalog Record</v>
      </c>
      <c r="AV39" s="6" t="str">
        <f>HYPERLINK("http://www.worldcat.org/oclc/135347","WorldCat Record")</f>
        <v>WorldCat Record</v>
      </c>
      <c r="AW39" s="3" t="s">
        <v>556</v>
      </c>
      <c r="AX39" s="3" t="s">
        <v>557</v>
      </c>
      <c r="AY39" s="3" t="s">
        <v>558</v>
      </c>
      <c r="AZ39" s="3" t="s">
        <v>558</v>
      </c>
      <c r="BA39" s="3" t="s">
        <v>559</v>
      </c>
      <c r="BB39" s="3" t="s">
        <v>77</v>
      </c>
      <c r="BD39" s="3" t="s">
        <v>560</v>
      </c>
      <c r="BE39" s="3" t="s">
        <v>566</v>
      </c>
      <c r="BF39" s="3" t="s">
        <v>567</v>
      </c>
    </row>
    <row r="40" spans="1:58" ht="36.75" customHeight="1" x14ac:dyDescent="0.25">
      <c r="A40" s="7" t="s">
        <v>62</v>
      </c>
      <c r="B40" s="2" t="s">
        <v>57</v>
      </c>
      <c r="C40" s="2" t="s">
        <v>58</v>
      </c>
      <c r="D40" s="2" t="s">
        <v>568</v>
      </c>
      <c r="E40" s="2" t="s">
        <v>569</v>
      </c>
      <c r="F40" s="2" t="s">
        <v>570</v>
      </c>
      <c r="H40" s="3" t="s">
        <v>62</v>
      </c>
      <c r="I40" s="3" t="s">
        <v>63</v>
      </c>
      <c r="J40" s="3" t="s">
        <v>62</v>
      </c>
      <c r="K40" s="3" t="s">
        <v>62</v>
      </c>
      <c r="L40" s="3" t="s">
        <v>64</v>
      </c>
      <c r="M40" s="2" t="s">
        <v>103</v>
      </c>
      <c r="N40" s="2" t="s">
        <v>571</v>
      </c>
      <c r="O40" s="3" t="s">
        <v>572</v>
      </c>
      <c r="Q40" s="3" t="s">
        <v>68</v>
      </c>
      <c r="R40" s="3" t="s">
        <v>573</v>
      </c>
      <c r="S40" s="2" t="s">
        <v>574</v>
      </c>
      <c r="T40" s="3" t="s">
        <v>70</v>
      </c>
      <c r="U40" s="4">
        <v>2</v>
      </c>
      <c r="V40" s="4">
        <v>2</v>
      </c>
      <c r="W40" s="5" t="s">
        <v>88</v>
      </c>
      <c r="X40" s="5" t="s">
        <v>88</v>
      </c>
      <c r="Y40" s="5" t="s">
        <v>457</v>
      </c>
      <c r="Z40" s="5" t="s">
        <v>457</v>
      </c>
      <c r="AA40" s="4">
        <v>275</v>
      </c>
      <c r="AB40" s="4">
        <v>208</v>
      </c>
      <c r="AC40" s="4">
        <v>247</v>
      </c>
      <c r="AD40" s="4">
        <v>1</v>
      </c>
      <c r="AE40" s="4">
        <v>1</v>
      </c>
      <c r="AF40" s="4">
        <v>10</v>
      </c>
      <c r="AG40" s="4">
        <v>10</v>
      </c>
      <c r="AH40" s="4">
        <v>2</v>
      </c>
      <c r="AI40" s="4">
        <v>2</v>
      </c>
      <c r="AJ40" s="4">
        <v>3</v>
      </c>
      <c r="AK40" s="4">
        <v>3</v>
      </c>
      <c r="AL40" s="4">
        <v>7</v>
      </c>
      <c r="AM40" s="4">
        <v>7</v>
      </c>
      <c r="AN40" s="4">
        <v>0</v>
      </c>
      <c r="AO40" s="4">
        <v>0</v>
      </c>
      <c r="AP40" s="4">
        <v>0</v>
      </c>
      <c r="AQ40" s="4">
        <v>0</v>
      </c>
      <c r="AR40" s="3" t="s">
        <v>62</v>
      </c>
      <c r="AS40" s="3" t="s">
        <v>84</v>
      </c>
      <c r="AT40" s="6" t="str">
        <f>HYPERLINK("http://catalog.hathitrust.org/Record/101897014","HathiTrust Record")</f>
        <v>HathiTrust Record</v>
      </c>
      <c r="AU40" s="6" t="str">
        <f>HYPERLINK("https://creighton-primo.hosted.exlibrisgroup.com/primo-explore/search?tab=default_tab&amp;search_scope=EVERYTHING&amp;vid=01CRU&amp;lang=en_US&amp;offset=0&amp;query=any,contains,991000068189702656","Catalog Record")</f>
        <v>Catalog Record</v>
      </c>
      <c r="AV40" s="6" t="str">
        <f>HYPERLINK("http://www.worldcat.org/oclc/8765087","WorldCat Record")</f>
        <v>WorldCat Record</v>
      </c>
      <c r="AW40" s="3" t="s">
        <v>575</v>
      </c>
      <c r="AX40" s="3" t="s">
        <v>576</v>
      </c>
      <c r="AY40" s="3" t="s">
        <v>577</v>
      </c>
      <c r="AZ40" s="3" t="s">
        <v>577</v>
      </c>
      <c r="BA40" s="3" t="s">
        <v>578</v>
      </c>
      <c r="BB40" s="3" t="s">
        <v>77</v>
      </c>
      <c r="BD40" s="3" t="s">
        <v>579</v>
      </c>
      <c r="BE40" s="3" t="s">
        <v>580</v>
      </c>
      <c r="BF40" s="3" t="s">
        <v>581</v>
      </c>
    </row>
    <row r="41" spans="1:58" ht="36.75" customHeight="1" x14ac:dyDescent="0.25">
      <c r="A41" s="7" t="s">
        <v>62</v>
      </c>
      <c r="B41" s="2" t="s">
        <v>57</v>
      </c>
      <c r="C41" s="2" t="s">
        <v>58</v>
      </c>
      <c r="D41" s="2" t="s">
        <v>582</v>
      </c>
      <c r="E41" s="2" t="s">
        <v>583</v>
      </c>
      <c r="F41" s="2" t="s">
        <v>584</v>
      </c>
      <c r="H41" s="3" t="s">
        <v>62</v>
      </c>
      <c r="I41" s="3" t="s">
        <v>63</v>
      </c>
      <c r="J41" s="3" t="s">
        <v>62</v>
      </c>
      <c r="K41" s="3" t="s">
        <v>62</v>
      </c>
      <c r="L41" s="3" t="s">
        <v>64</v>
      </c>
      <c r="M41" s="2" t="s">
        <v>103</v>
      </c>
      <c r="N41" s="2" t="s">
        <v>585</v>
      </c>
      <c r="O41" s="3" t="s">
        <v>586</v>
      </c>
      <c r="Q41" s="3" t="s">
        <v>68</v>
      </c>
      <c r="R41" s="3" t="s">
        <v>587</v>
      </c>
      <c r="S41" s="2" t="s">
        <v>588</v>
      </c>
      <c r="T41" s="3" t="s">
        <v>70</v>
      </c>
      <c r="U41" s="4">
        <v>2</v>
      </c>
      <c r="V41" s="4">
        <v>2</v>
      </c>
      <c r="W41" s="5" t="s">
        <v>589</v>
      </c>
      <c r="X41" s="5" t="s">
        <v>589</v>
      </c>
      <c r="Y41" s="5" t="s">
        <v>590</v>
      </c>
      <c r="Z41" s="5" t="s">
        <v>590</v>
      </c>
      <c r="AA41" s="4">
        <v>209</v>
      </c>
      <c r="AB41" s="4">
        <v>159</v>
      </c>
      <c r="AC41" s="4">
        <v>160</v>
      </c>
      <c r="AD41" s="4">
        <v>2</v>
      </c>
      <c r="AE41" s="4">
        <v>2</v>
      </c>
      <c r="AF41" s="4">
        <v>15</v>
      </c>
      <c r="AG41" s="4">
        <v>15</v>
      </c>
      <c r="AH41" s="4">
        <v>6</v>
      </c>
      <c r="AI41" s="4">
        <v>6</v>
      </c>
      <c r="AJ41" s="4">
        <v>3</v>
      </c>
      <c r="AK41" s="4">
        <v>3</v>
      </c>
      <c r="AL41" s="4">
        <v>8</v>
      </c>
      <c r="AM41" s="4">
        <v>8</v>
      </c>
      <c r="AN41" s="4">
        <v>1</v>
      </c>
      <c r="AO41" s="4">
        <v>1</v>
      </c>
      <c r="AP41" s="4">
        <v>1</v>
      </c>
      <c r="AQ41" s="4">
        <v>1</v>
      </c>
      <c r="AR41" s="3" t="s">
        <v>62</v>
      </c>
      <c r="AS41" s="3" t="s">
        <v>62</v>
      </c>
      <c r="AU41" s="6" t="str">
        <f>HYPERLINK("https://creighton-primo.hosted.exlibrisgroup.com/primo-explore/search?tab=default_tab&amp;search_scope=EVERYTHING&amp;vid=01CRU&amp;lang=en_US&amp;offset=0&amp;query=any,contains,991002170029702656","Catalog Record")</f>
        <v>Catalog Record</v>
      </c>
      <c r="AV41" s="6" t="str">
        <f>HYPERLINK("http://www.worldcat.org/oclc/27935120","WorldCat Record")</f>
        <v>WorldCat Record</v>
      </c>
      <c r="AW41" s="3" t="s">
        <v>591</v>
      </c>
      <c r="AX41" s="3" t="s">
        <v>592</v>
      </c>
      <c r="AY41" s="3" t="s">
        <v>593</v>
      </c>
      <c r="AZ41" s="3" t="s">
        <v>593</v>
      </c>
      <c r="BA41" s="3" t="s">
        <v>594</v>
      </c>
      <c r="BB41" s="3" t="s">
        <v>77</v>
      </c>
      <c r="BD41" s="3" t="s">
        <v>595</v>
      </c>
      <c r="BE41" s="3" t="s">
        <v>596</v>
      </c>
      <c r="BF41" s="3" t="s">
        <v>597</v>
      </c>
    </row>
    <row r="42" spans="1:58" ht="36.75" customHeight="1" x14ac:dyDescent="0.25">
      <c r="A42" s="7" t="s">
        <v>62</v>
      </c>
      <c r="B42" s="2" t="s">
        <v>57</v>
      </c>
      <c r="C42" s="2" t="s">
        <v>58</v>
      </c>
      <c r="D42" s="2" t="s">
        <v>598</v>
      </c>
      <c r="E42" s="2" t="s">
        <v>599</v>
      </c>
      <c r="F42" s="2" t="s">
        <v>600</v>
      </c>
      <c r="H42" s="3" t="s">
        <v>62</v>
      </c>
      <c r="I42" s="3" t="s">
        <v>63</v>
      </c>
      <c r="J42" s="3" t="s">
        <v>62</v>
      </c>
      <c r="K42" s="3" t="s">
        <v>62</v>
      </c>
      <c r="L42" s="3" t="s">
        <v>64</v>
      </c>
      <c r="M42" s="2" t="s">
        <v>103</v>
      </c>
      <c r="N42" s="2" t="s">
        <v>601</v>
      </c>
      <c r="O42" s="3" t="s">
        <v>602</v>
      </c>
      <c r="Q42" s="3" t="s">
        <v>68</v>
      </c>
      <c r="R42" s="3" t="s">
        <v>229</v>
      </c>
      <c r="T42" s="3" t="s">
        <v>70</v>
      </c>
      <c r="U42" s="4">
        <v>4</v>
      </c>
      <c r="V42" s="4">
        <v>4</v>
      </c>
      <c r="W42" s="5" t="s">
        <v>528</v>
      </c>
      <c r="X42" s="5" t="s">
        <v>528</v>
      </c>
      <c r="Y42" s="5" t="s">
        <v>457</v>
      </c>
      <c r="Z42" s="5" t="s">
        <v>457</v>
      </c>
      <c r="AA42" s="4">
        <v>942</v>
      </c>
      <c r="AB42" s="4">
        <v>812</v>
      </c>
      <c r="AC42" s="4">
        <v>820</v>
      </c>
      <c r="AD42" s="4">
        <v>6</v>
      </c>
      <c r="AE42" s="4">
        <v>6</v>
      </c>
      <c r="AF42" s="4">
        <v>46</v>
      </c>
      <c r="AG42" s="4">
        <v>47</v>
      </c>
      <c r="AH42" s="4">
        <v>24</v>
      </c>
      <c r="AI42" s="4">
        <v>24</v>
      </c>
      <c r="AJ42" s="4">
        <v>8</v>
      </c>
      <c r="AK42" s="4">
        <v>8</v>
      </c>
      <c r="AL42" s="4">
        <v>22</v>
      </c>
      <c r="AM42" s="4">
        <v>23</v>
      </c>
      <c r="AN42" s="4">
        <v>4</v>
      </c>
      <c r="AO42" s="4">
        <v>4</v>
      </c>
      <c r="AP42" s="4">
        <v>0</v>
      </c>
      <c r="AQ42" s="4">
        <v>0</v>
      </c>
      <c r="AR42" s="3" t="s">
        <v>62</v>
      </c>
      <c r="AS42" s="3" t="s">
        <v>62</v>
      </c>
      <c r="AU42" s="6" t="str">
        <f>HYPERLINK("https://creighton-primo.hosted.exlibrisgroup.com/primo-explore/search?tab=default_tab&amp;search_scope=EVERYTHING&amp;vid=01CRU&amp;lang=en_US&amp;offset=0&amp;query=any,contains,991000252109702656","Catalog Record")</f>
        <v>Catalog Record</v>
      </c>
      <c r="AV42" s="6" t="str">
        <f>HYPERLINK("http://www.worldcat.org/oclc/9758784","WorldCat Record")</f>
        <v>WorldCat Record</v>
      </c>
      <c r="AW42" s="3" t="s">
        <v>603</v>
      </c>
      <c r="AX42" s="3" t="s">
        <v>604</v>
      </c>
      <c r="AY42" s="3" t="s">
        <v>605</v>
      </c>
      <c r="AZ42" s="3" t="s">
        <v>605</v>
      </c>
      <c r="BA42" s="3" t="s">
        <v>606</v>
      </c>
      <c r="BB42" s="3" t="s">
        <v>77</v>
      </c>
      <c r="BD42" s="3" t="s">
        <v>607</v>
      </c>
      <c r="BE42" s="3" t="s">
        <v>608</v>
      </c>
      <c r="BF42" s="3" t="s">
        <v>609</v>
      </c>
    </row>
    <row r="43" spans="1:58" ht="36.75" customHeight="1" x14ac:dyDescent="0.25">
      <c r="A43" s="7" t="s">
        <v>62</v>
      </c>
      <c r="B43" s="2" t="s">
        <v>57</v>
      </c>
      <c r="C43" s="2" t="s">
        <v>58</v>
      </c>
      <c r="D43" s="2" t="s">
        <v>610</v>
      </c>
      <c r="E43" s="2" t="s">
        <v>611</v>
      </c>
      <c r="F43" s="2" t="s">
        <v>612</v>
      </c>
      <c r="H43" s="3" t="s">
        <v>62</v>
      </c>
      <c r="I43" s="3" t="s">
        <v>63</v>
      </c>
      <c r="J43" s="3" t="s">
        <v>62</v>
      </c>
      <c r="K43" s="3" t="s">
        <v>62</v>
      </c>
      <c r="L43" s="3" t="s">
        <v>64</v>
      </c>
      <c r="M43" s="2" t="s">
        <v>613</v>
      </c>
      <c r="N43" s="2" t="s">
        <v>614</v>
      </c>
      <c r="O43" s="3" t="s">
        <v>470</v>
      </c>
      <c r="P43" s="2" t="s">
        <v>615</v>
      </c>
      <c r="Q43" s="3" t="s">
        <v>68</v>
      </c>
      <c r="R43" s="3" t="s">
        <v>229</v>
      </c>
      <c r="T43" s="3" t="s">
        <v>70</v>
      </c>
      <c r="U43" s="4">
        <v>5</v>
      </c>
      <c r="V43" s="4">
        <v>5</v>
      </c>
      <c r="W43" s="5" t="s">
        <v>616</v>
      </c>
      <c r="X43" s="5" t="s">
        <v>616</v>
      </c>
      <c r="Y43" s="5" t="s">
        <v>457</v>
      </c>
      <c r="Z43" s="5" t="s">
        <v>457</v>
      </c>
      <c r="AA43" s="4">
        <v>946</v>
      </c>
      <c r="AB43" s="4">
        <v>840</v>
      </c>
      <c r="AC43" s="4">
        <v>947</v>
      </c>
      <c r="AD43" s="4">
        <v>9</v>
      </c>
      <c r="AE43" s="4">
        <v>11</v>
      </c>
      <c r="AF43" s="4">
        <v>49</v>
      </c>
      <c r="AG43" s="4">
        <v>55</v>
      </c>
      <c r="AH43" s="4">
        <v>23</v>
      </c>
      <c r="AI43" s="4">
        <v>24</v>
      </c>
      <c r="AJ43" s="4">
        <v>8</v>
      </c>
      <c r="AK43" s="4">
        <v>9</v>
      </c>
      <c r="AL43" s="4">
        <v>24</v>
      </c>
      <c r="AM43" s="4">
        <v>27</v>
      </c>
      <c r="AN43" s="4">
        <v>7</v>
      </c>
      <c r="AO43" s="4">
        <v>8</v>
      </c>
      <c r="AP43" s="4">
        <v>0</v>
      </c>
      <c r="AQ43" s="4">
        <v>0</v>
      </c>
      <c r="AR43" s="3" t="s">
        <v>62</v>
      </c>
      <c r="AS43" s="3" t="s">
        <v>84</v>
      </c>
      <c r="AT43" s="6" t="str">
        <f>HYPERLINK("http://catalog.hathitrust.org/Record/007886507","HathiTrust Record")</f>
        <v>HathiTrust Record</v>
      </c>
      <c r="AU43" s="6" t="str">
        <f>HYPERLINK("https://creighton-primo.hosted.exlibrisgroup.com/primo-explore/search?tab=default_tab&amp;search_scope=EVERYTHING&amp;vid=01CRU&amp;lang=en_US&amp;offset=0&amp;query=any,contains,991004402339702656","Catalog Record")</f>
        <v>Catalog Record</v>
      </c>
      <c r="AV43" s="6" t="str">
        <f>HYPERLINK("http://www.worldcat.org/oclc/3308919","WorldCat Record")</f>
        <v>WorldCat Record</v>
      </c>
      <c r="AW43" s="3" t="s">
        <v>617</v>
      </c>
      <c r="AX43" s="3" t="s">
        <v>618</v>
      </c>
      <c r="AY43" s="3" t="s">
        <v>619</v>
      </c>
      <c r="AZ43" s="3" t="s">
        <v>619</v>
      </c>
      <c r="BA43" s="3" t="s">
        <v>620</v>
      </c>
      <c r="BB43" s="3" t="s">
        <v>77</v>
      </c>
      <c r="BD43" s="3" t="s">
        <v>621</v>
      </c>
      <c r="BE43" s="3" t="s">
        <v>622</v>
      </c>
      <c r="BF43" s="3" t="s">
        <v>623</v>
      </c>
    </row>
    <row r="44" spans="1:58" ht="36.75" customHeight="1" x14ac:dyDescent="0.25">
      <c r="A44" s="7" t="s">
        <v>62</v>
      </c>
      <c r="B44" s="2" t="s">
        <v>57</v>
      </c>
      <c r="C44" s="2" t="s">
        <v>58</v>
      </c>
      <c r="D44" s="2" t="s">
        <v>624</v>
      </c>
      <c r="E44" s="2" t="s">
        <v>625</v>
      </c>
      <c r="F44" s="2" t="s">
        <v>626</v>
      </c>
      <c r="H44" s="3" t="s">
        <v>62</v>
      </c>
      <c r="I44" s="3" t="s">
        <v>63</v>
      </c>
      <c r="J44" s="3" t="s">
        <v>62</v>
      </c>
      <c r="K44" s="3" t="s">
        <v>62</v>
      </c>
      <c r="L44" s="3" t="s">
        <v>64</v>
      </c>
      <c r="N44" s="2" t="s">
        <v>627</v>
      </c>
      <c r="O44" s="3" t="s">
        <v>415</v>
      </c>
      <c r="Q44" s="3" t="s">
        <v>68</v>
      </c>
      <c r="R44" s="3" t="s">
        <v>69</v>
      </c>
      <c r="S44" s="2" t="s">
        <v>628</v>
      </c>
      <c r="T44" s="3" t="s">
        <v>70</v>
      </c>
      <c r="U44" s="4">
        <v>3</v>
      </c>
      <c r="V44" s="4">
        <v>3</v>
      </c>
      <c r="W44" s="5" t="s">
        <v>629</v>
      </c>
      <c r="X44" s="5" t="s">
        <v>629</v>
      </c>
      <c r="Y44" s="5" t="s">
        <v>457</v>
      </c>
      <c r="Z44" s="5" t="s">
        <v>457</v>
      </c>
      <c r="AA44" s="4">
        <v>523</v>
      </c>
      <c r="AB44" s="4">
        <v>422</v>
      </c>
      <c r="AC44" s="4">
        <v>431</v>
      </c>
      <c r="AD44" s="4">
        <v>2</v>
      </c>
      <c r="AE44" s="4">
        <v>2</v>
      </c>
      <c r="AF44" s="4">
        <v>25</v>
      </c>
      <c r="AG44" s="4">
        <v>25</v>
      </c>
      <c r="AH44" s="4">
        <v>9</v>
      </c>
      <c r="AI44" s="4">
        <v>9</v>
      </c>
      <c r="AJ44" s="4">
        <v>8</v>
      </c>
      <c r="AK44" s="4">
        <v>8</v>
      </c>
      <c r="AL44" s="4">
        <v>16</v>
      </c>
      <c r="AM44" s="4">
        <v>16</v>
      </c>
      <c r="AN44" s="4">
        <v>1</v>
      </c>
      <c r="AO44" s="4">
        <v>1</v>
      </c>
      <c r="AP44" s="4">
        <v>0</v>
      </c>
      <c r="AQ44" s="4">
        <v>0</v>
      </c>
      <c r="AR44" s="3" t="s">
        <v>62</v>
      </c>
      <c r="AS44" s="3" t="s">
        <v>84</v>
      </c>
      <c r="AT44" s="6" t="str">
        <f>HYPERLINK("http://catalog.hathitrust.org/Record/001645383","HathiTrust Record")</f>
        <v>HathiTrust Record</v>
      </c>
      <c r="AU44" s="6" t="str">
        <f>HYPERLINK("https://creighton-primo.hosted.exlibrisgroup.com/primo-explore/search?tab=default_tab&amp;search_scope=EVERYTHING&amp;vid=01CRU&amp;lang=en_US&amp;offset=0&amp;query=any,contains,991003350319702656","Catalog Record")</f>
        <v>Catalog Record</v>
      </c>
      <c r="AV44" s="6" t="str">
        <f>HYPERLINK("http://www.worldcat.org/oclc/883222","WorldCat Record")</f>
        <v>WorldCat Record</v>
      </c>
      <c r="AW44" s="3" t="s">
        <v>630</v>
      </c>
      <c r="AX44" s="3" t="s">
        <v>631</v>
      </c>
      <c r="AY44" s="3" t="s">
        <v>632</v>
      </c>
      <c r="AZ44" s="3" t="s">
        <v>632</v>
      </c>
      <c r="BA44" s="3" t="s">
        <v>633</v>
      </c>
      <c r="BB44" s="3" t="s">
        <v>77</v>
      </c>
      <c r="BE44" s="3" t="s">
        <v>634</v>
      </c>
      <c r="BF44" s="3" t="s">
        <v>635</v>
      </c>
    </row>
    <row r="45" spans="1:58" ht="36.75" customHeight="1" x14ac:dyDescent="0.25">
      <c r="A45" s="7" t="s">
        <v>62</v>
      </c>
      <c r="B45" s="2" t="s">
        <v>57</v>
      </c>
      <c r="C45" s="2" t="s">
        <v>58</v>
      </c>
      <c r="D45" s="2" t="s">
        <v>636</v>
      </c>
      <c r="E45" s="2" t="s">
        <v>637</v>
      </c>
      <c r="F45" s="2" t="s">
        <v>638</v>
      </c>
      <c r="H45" s="3" t="s">
        <v>62</v>
      </c>
      <c r="I45" s="3" t="s">
        <v>63</v>
      </c>
      <c r="J45" s="3" t="s">
        <v>62</v>
      </c>
      <c r="K45" s="3" t="s">
        <v>62</v>
      </c>
      <c r="L45" s="3" t="s">
        <v>64</v>
      </c>
      <c r="M45" s="2" t="s">
        <v>639</v>
      </c>
      <c r="N45" s="2" t="s">
        <v>640</v>
      </c>
      <c r="O45" s="3" t="s">
        <v>641</v>
      </c>
      <c r="P45" s="2" t="s">
        <v>642</v>
      </c>
      <c r="Q45" s="3" t="s">
        <v>68</v>
      </c>
      <c r="R45" s="3" t="s">
        <v>69</v>
      </c>
      <c r="T45" s="3" t="s">
        <v>70</v>
      </c>
      <c r="U45" s="4">
        <v>1</v>
      </c>
      <c r="V45" s="4">
        <v>1</v>
      </c>
      <c r="W45" s="5" t="s">
        <v>643</v>
      </c>
      <c r="X45" s="5" t="s">
        <v>643</v>
      </c>
      <c r="Y45" s="5" t="s">
        <v>457</v>
      </c>
      <c r="Z45" s="5" t="s">
        <v>457</v>
      </c>
      <c r="AA45" s="4">
        <v>460</v>
      </c>
      <c r="AB45" s="4">
        <v>441</v>
      </c>
      <c r="AC45" s="4">
        <v>657</v>
      </c>
      <c r="AD45" s="4">
        <v>3</v>
      </c>
      <c r="AE45" s="4">
        <v>5</v>
      </c>
      <c r="AF45" s="4">
        <v>23</v>
      </c>
      <c r="AG45" s="4">
        <v>32</v>
      </c>
      <c r="AH45" s="4">
        <v>11</v>
      </c>
      <c r="AI45" s="4">
        <v>13</v>
      </c>
      <c r="AJ45" s="4">
        <v>5</v>
      </c>
      <c r="AK45" s="4">
        <v>7</v>
      </c>
      <c r="AL45" s="4">
        <v>11</v>
      </c>
      <c r="AM45" s="4">
        <v>14</v>
      </c>
      <c r="AN45" s="4">
        <v>2</v>
      </c>
      <c r="AO45" s="4">
        <v>4</v>
      </c>
      <c r="AP45" s="4">
        <v>0</v>
      </c>
      <c r="AQ45" s="4">
        <v>0</v>
      </c>
      <c r="AR45" s="3" t="s">
        <v>62</v>
      </c>
      <c r="AS45" s="3" t="s">
        <v>84</v>
      </c>
      <c r="AT45" s="6" t="str">
        <f>HYPERLINK("http://catalog.hathitrust.org/Record/001401883","HathiTrust Record")</f>
        <v>HathiTrust Record</v>
      </c>
      <c r="AU45" s="6" t="str">
        <f>HYPERLINK("https://creighton-primo.hosted.exlibrisgroup.com/primo-explore/search?tab=default_tab&amp;search_scope=EVERYTHING&amp;vid=01CRU&amp;lang=en_US&amp;offset=0&amp;query=any,contains,991003590289702656","Catalog Record")</f>
        <v>Catalog Record</v>
      </c>
      <c r="AV45" s="6" t="str">
        <f>HYPERLINK("http://www.worldcat.org/oclc/1172791","WorldCat Record")</f>
        <v>WorldCat Record</v>
      </c>
      <c r="AW45" s="3" t="s">
        <v>644</v>
      </c>
      <c r="AX45" s="3" t="s">
        <v>645</v>
      </c>
      <c r="AY45" s="3" t="s">
        <v>646</v>
      </c>
      <c r="AZ45" s="3" t="s">
        <v>646</v>
      </c>
      <c r="BA45" s="3" t="s">
        <v>647</v>
      </c>
      <c r="BB45" s="3" t="s">
        <v>77</v>
      </c>
      <c r="BE45" s="3" t="s">
        <v>648</v>
      </c>
      <c r="BF45" s="3" t="s">
        <v>649</v>
      </c>
    </row>
    <row r="46" spans="1:58" ht="36.75" customHeight="1" x14ac:dyDescent="0.25">
      <c r="A46" s="7" t="s">
        <v>62</v>
      </c>
      <c r="B46" s="2" t="s">
        <v>57</v>
      </c>
      <c r="C46" s="2" t="s">
        <v>58</v>
      </c>
      <c r="D46" s="2" t="s">
        <v>650</v>
      </c>
      <c r="E46" s="2" t="s">
        <v>651</v>
      </c>
      <c r="F46" s="2" t="s">
        <v>652</v>
      </c>
      <c r="H46" s="3" t="s">
        <v>62</v>
      </c>
      <c r="I46" s="3" t="s">
        <v>63</v>
      </c>
      <c r="J46" s="3" t="s">
        <v>62</v>
      </c>
      <c r="K46" s="3" t="s">
        <v>62</v>
      </c>
      <c r="L46" s="3" t="s">
        <v>64</v>
      </c>
      <c r="M46" s="2" t="s">
        <v>653</v>
      </c>
      <c r="N46" s="2" t="s">
        <v>654</v>
      </c>
      <c r="O46" s="3" t="s">
        <v>86</v>
      </c>
      <c r="P46" s="2" t="s">
        <v>655</v>
      </c>
      <c r="Q46" s="3" t="s">
        <v>68</v>
      </c>
      <c r="R46" s="3" t="s">
        <v>87</v>
      </c>
      <c r="S46" s="2" t="s">
        <v>656</v>
      </c>
      <c r="T46" s="3" t="s">
        <v>70</v>
      </c>
      <c r="U46" s="4">
        <v>1</v>
      </c>
      <c r="V46" s="4">
        <v>1</v>
      </c>
      <c r="W46" s="5" t="s">
        <v>657</v>
      </c>
      <c r="X46" s="5" t="s">
        <v>657</v>
      </c>
      <c r="Y46" s="5" t="s">
        <v>657</v>
      </c>
      <c r="Z46" s="5" t="s">
        <v>657</v>
      </c>
      <c r="AA46" s="4">
        <v>167</v>
      </c>
      <c r="AB46" s="4">
        <v>142</v>
      </c>
      <c r="AC46" s="4">
        <v>173</v>
      </c>
      <c r="AD46" s="4">
        <v>1</v>
      </c>
      <c r="AE46" s="4">
        <v>1</v>
      </c>
      <c r="AF46" s="4">
        <v>6</v>
      </c>
      <c r="AG46" s="4">
        <v>9</v>
      </c>
      <c r="AH46" s="4">
        <v>2</v>
      </c>
      <c r="AI46" s="4">
        <v>4</v>
      </c>
      <c r="AJ46" s="4">
        <v>2</v>
      </c>
      <c r="AK46" s="4">
        <v>2</v>
      </c>
      <c r="AL46" s="4">
        <v>4</v>
      </c>
      <c r="AM46" s="4">
        <v>6</v>
      </c>
      <c r="AN46" s="4">
        <v>0</v>
      </c>
      <c r="AO46" s="4">
        <v>0</v>
      </c>
      <c r="AP46" s="4">
        <v>0</v>
      </c>
      <c r="AQ46" s="4">
        <v>0</v>
      </c>
      <c r="AR46" s="3" t="s">
        <v>62</v>
      </c>
      <c r="AS46" s="3" t="s">
        <v>84</v>
      </c>
      <c r="AT46" s="6" t="str">
        <f>HYPERLINK("http://catalog.hathitrust.org/Record/000016403","HathiTrust Record")</f>
        <v>HathiTrust Record</v>
      </c>
      <c r="AU46" s="6" t="str">
        <f>HYPERLINK("https://creighton-primo.hosted.exlibrisgroup.com/primo-explore/search?tab=default_tab&amp;search_scope=EVERYTHING&amp;vid=01CRU&amp;lang=en_US&amp;offset=0&amp;query=any,contains,991005234369702656","Catalog Record")</f>
        <v>Catalog Record</v>
      </c>
      <c r="AV46" s="6" t="str">
        <f>HYPERLINK("http://www.worldcat.org/oclc/1004610","WorldCat Record")</f>
        <v>WorldCat Record</v>
      </c>
      <c r="AW46" s="3" t="s">
        <v>658</v>
      </c>
      <c r="AX46" s="3" t="s">
        <v>659</v>
      </c>
      <c r="AY46" s="3" t="s">
        <v>660</v>
      </c>
      <c r="AZ46" s="3" t="s">
        <v>660</v>
      </c>
      <c r="BA46" s="3" t="s">
        <v>661</v>
      </c>
      <c r="BB46" s="3" t="s">
        <v>77</v>
      </c>
      <c r="BE46" s="3" t="s">
        <v>662</v>
      </c>
      <c r="BF46" s="3" t="s">
        <v>663</v>
      </c>
    </row>
    <row r="47" spans="1:58" ht="36.75" customHeight="1" x14ac:dyDescent="0.25">
      <c r="A47" s="7" t="s">
        <v>62</v>
      </c>
      <c r="B47" s="2" t="s">
        <v>57</v>
      </c>
      <c r="C47" s="2" t="s">
        <v>58</v>
      </c>
      <c r="D47" s="2" t="s">
        <v>664</v>
      </c>
      <c r="E47" s="2" t="s">
        <v>665</v>
      </c>
      <c r="F47" s="2" t="s">
        <v>666</v>
      </c>
      <c r="H47" s="3" t="s">
        <v>62</v>
      </c>
      <c r="I47" s="3" t="s">
        <v>63</v>
      </c>
      <c r="J47" s="3" t="s">
        <v>62</v>
      </c>
      <c r="K47" s="3" t="s">
        <v>62</v>
      </c>
      <c r="L47" s="3" t="s">
        <v>64</v>
      </c>
      <c r="M47" s="2" t="s">
        <v>667</v>
      </c>
      <c r="N47" s="2" t="s">
        <v>668</v>
      </c>
      <c r="O47" s="3" t="s">
        <v>572</v>
      </c>
      <c r="Q47" s="3" t="s">
        <v>68</v>
      </c>
      <c r="R47" s="3" t="s">
        <v>87</v>
      </c>
      <c r="S47" s="2" t="s">
        <v>669</v>
      </c>
      <c r="T47" s="3" t="s">
        <v>70</v>
      </c>
      <c r="U47" s="4">
        <v>3</v>
      </c>
      <c r="V47" s="4">
        <v>3</v>
      </c>
      <c r="W47" s="5" t="s">
        <v>670</v>
      </c>
      <c r="X47" s="5" t="s">
        <v>670</v>
      </c>
      <c r="Y47" s="5" t="s">
        <v>457</v>
      </c>
      <c r="Z47" s="5" t="s">
        <v>457</v>
      </c>
      <c r="AA47" s="4">
        <v>641</v>
      </c>
      <c r="AB47" s="4">
        <v>558</v>
      </c>
      <c r="AC47" s="4">
        <v>565</v>
      </c>
      <c r="AD47" s="4">
        <v>5</v>
      </c>
      <c r="AE47" s="4">
        <v>5</v>
      </c>
      <c r="AF47" s="4">
        <v>34</v>
      </c>
      <c r="AG47" s="4">
        <v>34</v>
      </c>
      <c r="AH47" s="4">
        <v>14</v>
      </c>
      <c r="AI47" s="4">
        <v>14</v>
      </c>
      <c r="AJ47" s="4">
        <v>4</v>
      </c>
      <c r="AK47" s="4">
        <v>4</v>
      </c>
      <c r="AL47" s="4">
        <v>23</v>
      </c>
      <c r="AM47" s="4">
        <v>23</v>
      </c>
      <c r="AN47" s="4">
        <v>3</v>
      </c>
      <c r="AO47" s="4">
        <v>3</v>
      </c>
      <c r="AP47" s="4">
        <v>0</v>
      </c>
      <c r="AQ47" s="4">
        <v>0</v>
      </c>
      <c r="AR47" s="3" t="s">
        <v>62</v>
      </c>
      <c r="AS47" s="3" t="s">
        <v>84</v>
      </c>
      <c r="AT47" s="6" t="str">
        <f>HYPERLINK("http://catalog.hathitrust.org/Record/003078934","HathiTrust Record")</f>
        <v>HathiTrust Record</v>
      </c>
      <c r="AU47" s="6" t="str">
        <f>HYPERLINK("https://creighton-primo.hosted.exlibrisgroup.com/primo-explore/search?tab=default_tab&amp;search_scope=EVERYTHING&amp;vid=01CRU&amp;lang=en_US&amp;offset=0&amp;query=any,contains,991000041149702656","Catalog Record")</f>
        <v>Catalog Record</v>
      </c>
      <c r="AV47" s="6" t="str">
        <f>HYPERLINK("http://www.worldcat.org/oclc/8652820","WorldCat Record")</f>
        <v>WorldCat Record</v>
      </c>
      <c r="AW47" s="3" t="s">
        <v>671</v>
      </c>
      <c r="AX47" s="3" t="s">
        <v>672</v>
      </c>
      <c r="AY47" s="3" t="s">
        <v>673</v>
      </c>
      <c r="AZ47" s="3" t="s">
        <v>673</v>
      </c>
      <c r="BA47" s="3" t="s">
        <v>674</v>
      </c>
      <c r="BB47" s="3" t="s">
        <v>77</v>
      </c>
      <c r="BD47" s="3" t="s">
        <v>675</v>
      </c>
      <c r="BE47" s="3" t="s">
        <v>676</v>
      </c>
      <c r="BF47" s="3" t="s">
        <v>677</v>
      </c>
    </row>
    <row r="48" spans="1:58" ht="36.75" customHeight="1" x14ac:dyDescent="0.25">
      <c r="A48" s="7" t="s">
        <v>62</v>
      </c>
      <c r="B48" s="2" t="s">
        <v>57</v>
      </c>
      <c r="C48" s="2" t="s">
        <v>58</v>
      </c>
      <c r="D48" s="2" t="s">
        <v>678</v>
      </c>
      <c r="E48" s="2" t="s">
        <v>679</v>
      </c>
      <c r="F48" s="2" t="s">
        <v>680</v>
      </c>
      <c r="H48" s="3" t="s">
        <v>62</v>
      </c>
      <c r="I48" s="3" t="s">
        <v>63</v>
      </c>
      <c r="J48" s="3" t="s">
        <v>62</v>
      </c>
      <c r="K48" s="3" t="s">
        <v>62</v>
      </c>
      <c r="L48" s="3" t="s">
        <v>64</v>
      </c>
      <c r="M48" s="2" t="s">
        <v>681</v>
      </c>
      <c r="N48" s="2" t="s">
        <v>682</v>
      </c>
      <c r="O48" s="3" t="s">
        <v>319</v>
      </c>
      <c r="Q48" s="3" t="s">
        <v>68</v>
      </c>
      <c r="R48" s="3" t="s">
        <v>683</v>
      </c>
      <c r="S48" s="2" t="s">
        <v>684</v>
      </c>
      <c r="T48" s="3" t="s">
        <v>70</v>
      </c>
      <c r="U48" s="4">
        <v>3</v>
      </c>
      <c r="V48" s="4">
        <v>3</v>
      </c>
      <c r="W48" s="5" t="s">
        <v>685</v>
      </c>
      <c r="X48" s="5" t="s">
        <v>685</v>
      </c>
      <c r="Y48" s="5" t="s">
        <v>457</v>
      </c>
      <c r="Z48" s="5" t="s">
        <v>457</v>
      </c>
      <c r="AA48" s="4">
        <v>836</v>
      </c>
      <c r="AB48" s="4">
        <v>743</v>
      </c>
      <c r="AC48" s="4">
        <v>998</v>
      </c>
      <c r="AD48" s="4">
        <v>6</v>
      </c>
      <c r="AE48" s="4">
        <v>6</v>
      </c>
      <c r="AF48" s="4">
        <v>42</v>
      </c>
      <c r="AG48" s="4">
        <v>44</v>
      </c>
      <c r="AH48" s="4">
        <v>19</v>
      </c>
      <c r="AI48" s="4">
        <v>21</v>
      </c>
      <c r="AJ48" s="4">
        <v>8</v>
      </c>
      <c r="AK48" s="4">
        <v>9</v>
      </c>
      <c r="AL48" s="4">
        <v>21</v>
      </c>
      <c r="AM48" s="4">
        <v>21</v>
      </c>
      <c r="AN48" s="4">
        <v>4</v>
      </c>
      <c r="AO48" s="4">
        <v>4</v>
      </c>
      <c r="AP48" s="4">
        <v>0</v>
      </c>
      <c r="AQ48" s="4">
        <v>0</v>
      </c>
      <c r="AR48" s="3" t="s">
        <v>62</v>
      </c>
      <c r="AS48" s="3" t="s">
        <v>84</v>
      </c>
      <c r="AT48" s="6" t="str">
        <f>HYPERLINK("http://catalog.hathitrust.org/Record/002959026","HathiTrust Record")</f>
        <v>HathiTrust Record</v>
      </c>
      <c r="AU48" s="6" t="str">
        <f>HYPERLINK("https://creighton-primo.hosted.exlibrisgroup.com/primo-explore/search?tab=default_tab&amp;search_scope=EVERYTHING&amp;vid=01CRU&amp;lang=en_US&amp;offset=0&amp;query=any,contains,991004487939702656","Catalog Record")</f>
        <v>Catalog Record</v>
      </c>
      <c r="AV48" s="6" t="str">
        <f>HYPERLINK("http://www.worldcat.org/oclc/3650015","WorldCat Record")</f>
        <v>WorldCat Record</v>
      </c>
      <c r="AW48" s="3" t="s">
        <v>686</v>
      </c>
      <c r="AX48" s="3" t="s">
        <v>687</v>
      </c>
      <c r="AY48" s="3" t="s">
        <v>688</v>
      </c>
      <c r="AZ48" s="3" t="s">
        <v>688</v>
      </c>
      <c r="BA48" s="3" t="s">
        <v>689</v>
      </c>
      <c r="BB48" s="3" t="s">
        <v>77</v>
      </c>
      <c r="BD48" s="3" t="s">
        <v>690</v>
      </c>
      <c r="BE48" s="3" t="s">
        <v>691</v>
      </c>
      <c r="BF48" s="3" t="s">
        <v>692</v>
      </c>
    </row>
    <row r="49" spans="1:58" ht="36.75" customHeight="1" x14ac:dyDescent="0.25">
      <c r="A49" s="7" t="s">
        <v>62</v>
      </c>
      <c r="B49" s="2" t="s">
        <v>57</v>
      </c>
      <c r="C49" s="2" t="s">
        <v>58</v>
      </c>
      <c r="D49" s="2" t="s">
        <v>693</v>
      </c>
      <c r="E49" s="2" t="s">
        <v>694</v>
      </c>
      <c r="F49" s="2" t="s">
        <v>695</v>
      </c>
      <c r="H49" s="3" t="s">
        <v>62</v>
      </c>
      <c r="I49" s="3" t="s">
        <v>63</v>
      </c>
      <c r="J49" s="3" t="s">
        <v>62</v>
      </c>
      <c r="K49" s="3" t="s">
        <v>84</v>
      </c>
      <c r="L49" s="3" t="s">
        <v>64</v>
      </c>
      <c r="M49" s="2" t="s">
        <v>696</v>
      </c>
      <c r="N49" s="2" t="s">
        <v>697</v>
      </c>
      <c r="O49" s="3" t="s">
        <v>698</v>
      </c>
      <c r="Q49" s="3" t="s">
        <v>68</v>
      </c>
      <c r="R49" s="3" t="s">
        <v>699</v>
      </c>
      <c r="S49" s="2" t="s">
        <v>700</v>
      </c>
      <c r="T49" s="3" t="s">
        <v>70</v>
      </c>
      <c r="U49" s="4">
        <v>3</v>
      </c>
      <c r="V49" s="4">
        <v>3</v>
      </c>
      <c r="W49" s="5" t="s">
        <v>701</v>
      </c>
      <c r="X49" s="5" t="s">
        <v>701</v>
      </c>
      <c r="Y49" s="5" t="s">
        <v>457</v>
      </c>
      <c r="Z49" s="5" t="s">
        <v>457</v>
      </c>
      <c r="AA49" s="4">
        <v>1339</v>
      </c>
      <c r="AB49" s="4">
        <v>1208</v>
      </c>
      <c r="AC49" s="4">
        <v>1807</v>
      </c>
      <c r="AD49" s="4">
        <v>10</v>
      </c>
      <c r="AE49" s="4">
        <v>14</v>
      </c>
      <c r="AF49" s="4">
        <v>40</v>
      </c>
      <c r="AG49" s="4">
        <v>60</v>
      </c>
      <c r="AH49" s="4">
        <v>14</v>
      </c>
      <c r="AI49" s="4">
        <v>26</v>
      </c>
      <c r="AJ49" s="4">
        <v>9</v>
      </c>
      <c r="AK49" s="4">
        <v>10</v>
      </c>
      <c r="AL49" s="4">
        <v>16</v>
      </c>
      <c r="AM49" s="4">
        <v>27</v>
      </c>
      <c r="AN49" s="4">
        <v>8</v>
      </c>
      <c r="AO49" s="4">
        <v>10</v>
      </c>
      <c r="AP49" s="4">
        <v>1</v>
      </c>
      <c r="AQ49" s="4">
        <v>1</v>
      </c>
      <c r="AR49" s="3" t="s">
        <v>62</v>
      </c>
      <c r="AS49" s="3" t="s">
        <v>62</v>
      </c>
      <c r="AU49" s="6" t="str">
        <f>HYPERLINK("https://creighton-primo.hosted.exlibrisgroup.com/primo-explore/search?tab=default_tab&amp;search_scope=EVERYTHING&amp;vid=01CRU&amp;lang=en_US&amp;offset=0&amp;query=any,contains,991002612119702656","Catalog Record")</f>
        <v>Catalog Record</v>
      </c>
      <c r="AV49" s="6" t="str">
        <f>HYPERLINK("http://www.worldcat.org/oclc/239461","WorldCat Record")</f>
        <v>WorldCat Record</v>
      </c>
      <c r="AW49" s="3" t="s">
        <v>702</v>
      </c>
      <c r="AX49" s="3" t="s">
        <v>703</v>
      </c>
      <c r="AY49" s="3" t="s">
        <v>704</v>
      </c>
      <c r="AZ49" s="3" t="s">
        <v>704</v>
      </c>
      <c r="BA49" s="3" t="s">
        <v>705</v>
      </c>
      <c r="BB49" s="3" t="s">
        <v>77</v>
      </c>
      <c r="BE49" s="3" t="s">
        <v>706</v>
      </c>
      <c r="BF49" s="3" t="s">
        <v>707</v>
      </c>
    </row>
    <row r="50" spans="1:58" ht="36.75" customHeight="1" x14ac:dyDescent="0.25">
      <c r="A50" s="7" t="s">
        <v>62</v>
      </c>
      <c r="B50" s="2" t="s">
        <v>57</v>
      </c>
      <c r="C50" s="2" t="s">
        <v>58</v>
      </c>
      <c r="D50" s="2" t="s">
        <v>708</v>
      </c>
      <c r="E50" s="2" t="s">
        <v>709</v>
      </c>
      <c r="F50" s="2" t="s">
        <v>710</v>
      </c>
      <c r="H50" s="3" t="s">
        <v>62</v>
      </c>
      <c r="I50" s="3" t="s">
        <v>63</v>
      </c>
      <c r="J50" s="3" t="s">
        <v>62</v>
      </c>
      <c r="K50" s="3" t="s">
        <v>62</v>
      </c>
      <c r="L50" s="3" t="s">
        <v>64</v>
      </c>
      <c r="M50" s="2" t="s">
        <v>103</v>
      </c>
      <c r="N50" s="2" t="s">
        <v>711</v>
      </c>
      <c r="O50" s="3" t="s">
        <v>712</v>
      </c>
      <c r="Q50" s="3" t="s">
        <v>68</v>
      </c>
      <c r="R50" s="3" t="s">
        <v>106</v>
      </c>
      <c r="T50" s="3" t="s">
        <v>70</v>
      </c>
      <c r="U50" s="4">
        <v>2</v>
      </c>
      <c r="V50" s="4">
        <v>2</v>
      </c>
      <c r="W50" s="5" t="s">
        <v>713</v>
      </c>
      <c r="X50" s="5" t="s">
        <v>713</v>
      </c>
      <c r="Y50" s="5" t="s">
        <v>457</v>
      </c>
      <c r="Z50" s="5" t="s">
        <v>457</v>
      </c>
      <c r="AA50" s="4">
        <v>435</v>
      </c>
      <c r="AB50" s="4">
        <v>384</v>
      </c>
      <c r="AC50" s="4">
        <v>385</v>
      </c>
      <c r="AD50" s="4">
        <v>3</v>
      </c>
      <c r="AE50" s="4">
        <v>3</v>
      </c>
      <c r="AF50" s="4">
        <v>17</v>
      </c>
      <c r="AG50" s="4">
        <v>17</v>
      </c>
      <c r="AH50" s="4">
        <v>7</v>
      </c>
      <c r="AI50" s="4">
        <v>7</v>
      </c>
      <c r="AJ50" s="4">
        <v>5</v>
      </c>
      <c r="AK50" s="4">
        <v>5</v>
      </c>
      <c r="AL50" s="4">
        <v>12</v>
      </c>
      <c r="AM50" s="4">
        <v>12</v>
      </c>
      <c r="AN50" s="4">
        <v>1</v>
      </c>
      <c r="AO50" s="4">
        <v>1</v>
      </c>
      <c r="AP50" s="4">
        <v>0</v>
      </c>
      <c r="AQ50" s="4">
        <v>0</v>
      </c>
      <c r="AR50" s="3" t="s">
        <v>62</v>
      </c>
      <c r="AS50" s="3" t="s">
        <v>84</v>
      </c>
      <c r="AT50" s="6" t="str">
        <f>HYPERLINK("http://catalog.hathitrust.org/Record/000464248","HathiTrust Record")</f>
        <v>HathiTrust Record</v>
      </c>
      <c r="AU50" s="6" t="str">
        <f>HYPERLINK("https://creighton-primo.hosted.exlibrisgroup.com/primo-explore/search?tab=default_tab&amp;search_scope=EVERYTHING&amp;vid=01CRU&amp;lang=en_US&amp;offset=0&amp;query=any,contains,991000525999702656","Catalog Record")</f>
        <v>Catalog Record</v>
      </c>
      <c r="AV50" s="6" t="str">
        <f>HYPERLINK("http://www.worldcat.org/oclc/11370650","WorldCat Record")</f>
        <v>WorldCat Record</v>
      </c>
      <c r="AW50" s="3" t="s">
        <v>714</v>
      </c>
      <c r="AX50" s="3" t="s">
        <v>715</v>
      </c>
      <c r="AY50" s="3" t="s">
        <v>716</v>
      </c>
      <c r="AZ50" s="3" t="s">
        <v>716</v>
      </c>
      <c r="BA50" s="3" t="s">
        <v>717</v>
      </c>
      <c r="BB50" s="3" t="s">
        <v>77</v>
      </c>
      <c r="BD50" s="3" t="s">
        <v>718</v>
      </c>
      <c r="BE50" s="3" t="s">
        <v>719</v>
      </c>
      <c r="BF50" s="3" t="s">
        <v>720</v>
      </c>
    </row>
    <row r="51" spans="1:58" ht="36.75" customHeight="1" x14ac:dyDescent="0.25">
      <c r="A51" s="7" t="s">
        <v>62</v>
      </c>
      <c r="B51" s="2" t="s">
        <v>57</v>
      </c>
      <c r="C51" s="2" t="s">
        <v>58</v>
      </c>
      <c r="D51" s="2" t="s">
        <v>721</v>
      </c>
      <c r="E51" s="2" t="s">
        <v>722</v>
      </c>
      <c r="F51" s="2" t="s">
        <v>723</v>
      </c>
      <c r="H51" s="3" t="s">
        <v>62</v>
      </c>
      <c r="I51" s="3" t="s">
        <v>63</v>
      </c>
      <c r="J51" s="3" t="s">
        <v>62</v>
      </c>
      <c r="K51" s="3" t="s">
        <v>62</v>
      </c>
      <c r="L51" s="3" t="s">
        <v>64</v>
      </c>
      <c r="M51" s="2" t="s">
        <v>724</v>
      </c>
      <c r="N51" s="2" t="s">
        <v>725</v>
      </c>
      <c r="O51" s="3" t="s">
        <v>726</v>
      </c>
      <c r="Q51" s="3" t="s">
        <v>68</v>
      </c>
      <c r="R51" s="3" t="s">
        <v>106</v>
      </c>
      <c r="T51" s="3" t="s">
        <v>70</v>
      </c>
      <c r="U51" s="4">
        <v>2</v>
      </c>
      <c r="V51" s="4">
        <v>2</v>
      </c>
      <c r="W51" s="5" t="s">
        <v>727</v>
      </c>
      <c r="X51" s="5" t="s">
        <v>727</v>
      </c>
      <c r="Y51" s="5" t="s">
        <v>457</v>
      </c>
      <c r="Z51" s="5" t="s">
        <v>457</v>
      </c>
      <c r="AA51" s="4">
        <v>591</v>
      </c>
      <c r="AB51" s="4">
        <v>488</v>
      </c>
      <c r="AC51" s="4">
        <v>495</v>
      </c>
      <c r="AD51" s="4">
        <v>5</v>
      </c>
      <c r="AE51" s="4">
        <v>5</v>
      </c>
      <c r="AF51" s="4">
        <v>17</v>
      </c>
      <c r="AG51" s="4">
        <v>17</v>
      </c>
      <c r="AH51" s="4">
        <v>2</v>
      </c>
      <c r="AI51" s="4">
        <v>2</v>
      </c>
      <c r="AJ51" s="4">
        <v>6</v>
      </c>
      <c r="AK51" s="4">
        <v>6</v>
      </c>
      <c r="AL51" s="4">
        <v>8</v>
      </c>
      <c r="AM51" s="4">
        <v>8</v>
      </c>
      <c r="AN51" s="4">
        <v>4</v>
      </c>
      <c r="AO51" s="4">
        <v>4</v>
      </c>
      <c r="AP51" s="4">
        <v>0</v>
      </c>
      <c r="AQ51" s="4">
        <v>0</v>
      </c>
      <c r="AR51" s="3" t="s">
        <v>62</v>
      </c>
      <c r="AS51" s="3" t="s">
        <v>84</v>
      </c>
      <c r="AT51" s="6" t="str">
        <f>HYPERLINK("http://catalog.hathitrust.org/Record/001402001","HathiTrust Record")</f>
        <v>HathiTrust Record</v>
      </c>
      <c r="AU51" s="6" t="str">
        <f>HYPERLINK("https://creighton-primo.hosted.exlibrisgroup.com/primo-explore/search?tab=default_tab&amp;search_scope=EVERYTHING&amp;vid=01CRU&amp;lang=en_US&amp;offset=0&amp;query=any,contains,991003005519702656","Catalog Record")</f>
        <v>Catalog Record</v>
      </c>
      <c r="AV51" s="6" t="str">
        <f>HYPERLINK("http://www.worldcat.org/oclc/572768","WorldCat Record")</f>
        <v>WorldCat Record</v>
      </c>
      <c r="AW51" s="3" t="s">
        <v>728</v>
      </c>
      <c r="AX51" s="3" t="s">
        <v>729</v>
      </c>
      <c r="AY51" s="3" t="s">
        <v>730</v>
      </c>
      <c r="AZ51" s="3" t="s">
        <v>730</v>
      </c>
      <c r="BA51" s="3" t="s">
        <v>731</v>
      </c>
      <c r="BB51" s="3" t="s">
        <v>77</v>
      </c>
      <c r="BD51" s="3" t="s">
        <v>732</v>
      </c>
      <c r="BE51" s="3" t="s">
        <v>733</v>
      </c>
      <c r="BF51" s="3" t="s">
        <v>734</v>
      </c>
    </row>
    <row r="52" spans="1:58" ht="36.75" customHeight="1" x14ac:dyDescent="0.25">
      <c r="A52" s="7" t="s">
        <v>62</v>
      </c>
      <c r="B52" s="2" t="s">
        <v>57</v>
      </c>
      <c r="C52" s="2" t="s">
        <v>58</v>
      </c>
      <c r="D52" s="2" t="s">
        <v>735</v>
      </c>
      <c r="E52" s="2" t="s">
        <v>736</v>
      </c>
      <c r="F52" s="2" t="s">
        <v>737</v>
      </c>
      <c r="H52" s="3" t="s">
        <v>62</v>
      </c>
      <c r="I52" s="3" t="s">
        <v>63</v>
      </c>
      <c r="J52" s="3" t="s">
        <v>62</v>
      </c>
      <c r="K52" s="3" t="s">
        <v>62</v>
      </c>
      <c r="L52" s="3" t="s">
        <v>64</v>
      </c>
      <c r="N52" s="2" t="s">
        <v>738</v>
      </c>
      <c r="O52" s="3" t="s">
        <v>726</v>
      </c>
      <c r="Q52" s="3" t="s">
        <v>68</v>
      </c>
      <c r="R52" s="3" t="s">
        <v>87</v>
      </c>
      <c r="S52" s="2" t="s">
        <v>739</v>
      </c>
      <c r="T52" s="3" t="s">
        <v>70</v>
      </c>
      <c r="U52" s="4">
        <v>1</v>
      </c>
      <c r="V52" s="4">
        <v>1</v>
      </c>
      <c r="W52" s="5" t="s">
        <v>740</v>
      </c>
      <c r="X52" s="5" t="s">
        <v>740</v>
      </c>
      <c r="Y52" s="5" t="s">
        <v>741</v>
      </c>
      <c r="Z52" s="5" t="s">
        <v>741</v>
      </c>
      <c r="AA52" s="4">
        <v>213</v>
      </c>
      <c r="AB52" s="4">
        <v>187</v>
      </c>
      <c r="AC52" s="4">
        <v>188</v>
      </c>
      <c r="AD52" s="4">
        <v>1</v>
      </c>
      <c r="AE52" s="4">
        <v>1</v>
      </c>
      <c r="AF52" s="4">
        <v>8</v>
      </c>
      <c r="AG52" s="4">
        <v>8</v>
      </c>
      <c r="AH52" s="4">
        <v>2</v>
      </c>
      <c r="AI52" s="4">
        <v>2</v>
      </c>
      <c r="AJ52" s="4">
        <v>3</v>
      </c>
      <c r="AK52" s="4">
        <v>3</v>
      </c>
      <c r="AL52" s="4">
        <v>4</v>
      </c>
      <c r="AM52" s="4">
        <v>4</v>
      </c>
      <c r="AN52" s="4">
        <v>0</v>
      </c>
      <c r="AO52" s="4">
        <v>0</v>
      </c>
      <c r="AP52" s="4">
        <v>0</v>
      </c>
      <c r="AQ52" s="4">
        <v>0</v>
      </c>
      <c r="AR52" s="3" t="s">
        <v>62</v>
      </c>
      <c r="AS52" s="3" t="s">
        <v>84</v>
      </c>
      <c r="AT52" s="6" t="str">
        <f>HYPERLINK("http://catalog.hathitrust.org/Record/001399081","HathiTrust Record")</f>
        <v>HathiTrust Record</v>
      </c>
      <c r="AU52" s="6" t="str">
        <f>HYPERLINK("https://creighton-primo.hosted.exlibrisgroup.com/primo-explore/search?tab=default_tab&amp;search_scope=EVERYTHING&amp;vid=01CRU&amp;lang=en_US&amp;offset=0&amp;query=any,contains,991003121769702656","Catalog Record")</f>
        <v>Catalog Record</v>
      </c>
      <c r="AV52" s="6" t="str">
        <f>HYPERLINK("http://www.worldcat.org/oclc/667011","WorldCat Record")</f>
        <v>WorldCat Record</v>
      </c>
      <c r="AW52" s="3" t="s">
        <v>742</v>
      </c>
      <c r="AX52" s="3" t="s">
        <v>743</v>
      </c>
      <c r="AY52" s="3" t="s">
        <v>744</v>
      </c>
      <c r="AZ52" s="3" t="s">
        <v>744</v>
      </c>
      <c r="BA52" s="3" t="s">
        <v>745</v>
      </c>
      <c r="BB52" s="3" t="s">
        <v>77</v>
      </c>
      <c r="BD52" s="3" t="s">
        <v>746</v>
      </c>
      <c r="BE52" s="3" t="s">
        <v>747</v>
      </c>
      <c r="BF52" s="3" t="s">
        <v>748</v>
      </c>
    </row>
    <row r="53" spans="1:58" ht="36.75" customHeight="1" x14ac:dyDescent="0.25">
      <c r="A53" s="7" t="s">
        <v>62</v>
      </c>
      <c r="B53" s="2" t="s">
        <v>57</v>
      </c>
      <c r="C53" s="2" t="s">
        <v>58</v>
      </c>
      <c r="D53" s="2" t="s">
        <v>749</v>
      </c>
      <c r="E53" s="2" t="s">
        <v>750</v>
      </c>
      <c r="F53" s="2" t="s">
        <v>751</v>
      </c>
      <c r="H53" s="3" t="s">
        <v>62</v>
      </c>
      <c r="I53" s="3" t="s">
        <v>63</v>
      </c>
      <c r="J53" s="3" t="s">
        <v>62</v>
      </c>
      <c r="K53" s="3" t="s">
        <v>62</v>
      </c>
      <c r="L53" s="3" t="s">
        <v>64</v>
      </c>
      <c r="M53" s="2" t="s">
        <v>752</v>
      </c>
      <c r="N53" s="2" t="s">
        <v>753</v>
      </c>
      <c r="O53" s="3" t="s">
        <v>485</v>
      </c>
      <c r="Q53" s="3" t="s">
        <v>68</v>
      </c>
      <c r="R53" s="3" t="s">
        <v>146</v>
      </c>
      <c r="S53" s="2" t="s">
        <v>754</v>
      </c>
      <c r="T53" s="3" t="s">
        <v>70</v>
      </c>
      <c r="U53" s="4">
        <v>4</v>
      </c>
      <c r="V53" s="4">
        <v>4</v>
      </c>
      <c r="W53" s="5" t="s">
        <v>755</v>
      </c>
      <c r="X53" s="5" t="s">
        <v>755</v>
      </c>
      <c r="Y53" s="5" t="s">
        <v>741</v>
      </c>
      <c r="Z53" s="5" t="s">
        <v>741</v>
      </c>
      <c r="AA53" s="4">
        <v>533</v>
      </c>
      <c r="AB53" s="4">
        <v>505</v>
      </c>
      <c r="AC53" s="4">
        <v>660</v>
      </c>
      <c r="AD53" s="4">
        <v>3</v>
      </c>
      <c r="AE53" s="4">
        <v>4</v>
      </c>
      <c r="AF53" s="4">
        <v>31</v>
      </c>
      <c r="AG53" s="4">
        <v>38</v>
      </c>
      <c r="AH53" s="4">
        <v>11</v>
      </c>
      <c r="AI53" s="4">
        <v>15</v>
      </c>
      <c r="AJ53" s="4">
        <v>8</v>
      </c>
      <c r="AK53" s="4">
        <v>8</v>
      </c>
      <c r="AL53" s="4">
        <v>19</v>
      </c>
      <c r="AM53" s="4">
        <v>24</v>
      </c>
      <c r="AN53" s="4">
        <v>2</v>
      </c>
      <c r="AO53" s="4">
        <v>2</v>
      </c>
      <c r="AP53" s="4">
        <v>0</v>
      </c>
      <c r="AQ53" s="4">
        <v>0</v>
      </c>
      <c r="AR53" s="3" t="s">
        <v>62</v>
      </c>
      <c r="AS53" s="3" t="s">
        <v>62</v>
      </c>
      <c r="AT53" s="6" t="str">
        <f>HYPERLINK("http://catalog.hathitrust.org/Record/001401660","HathiTrust Record")</f>
        <v>HathiTrust Record</v>
      </c>
      <c r="AU53" s="6" t="str">
        <f>HYPERLINK("https://creighton-primo.hosted.exlibrisgroup.com/primo-explore/search?tab=default_tab&amp;search_scope=EVERYTHING&amp;vid=01CRU&amp;lang=en_US&amp;offset=0&amp;query=any,contains,991002128629702656","Catalog Record")</f>
        <v>Catalog Record</v>
      </c>
      <c r="AV53" s="6" t="str">
        <f>HYPERLINK("http://www.worldcat.org/oclc/269528","WorldCat Record")</f>
        <v>WorldCat Record</v>
      </c>
      <c r="AW53" s="3" t="s">
        <v>756</v>
      </c>
      <c r="AX53" s="3" t="s">
        <v>757</v>
      </c>
      <c r="AY53" s="3" t="s">
        <v>758</v>
      </c>
      <c r="AZ53" s="3" t="s">
        <v>758</v>
      </c>
      <c r="BA53" s="3" t="s">
        <v>759</v>
      </c>
      <c r="BB53" s="3" t="s">
        <v>77</v>
      </c>
      <c r="BE53" s="3" t="s">
        <v>760</v>
      </c>
      <c r="BF53" s="3" t="s">
        <v>761</v>
      </c>
    </row>
    <row r="54" spans="1:58" ht="36.75" customHeight="1" x14ac:dyDescent="0.25">
      <c r="A54" s="7" t="s">
        <v>62</v>
      </c>
      <c r="B54" s="2" t="s">
        <v>57</v>
      </c>
      <c r="C54" s="2" t="s">
        <v>58</v>
      </c>
      <c r="D54" s="2" t="s">
        <v>762</v>
      </c>
      <c r="E54" s="2" t="s">
        <v>763</v>
      </c>
      <c r="F54" s="2" t="s">
        <v>764</v>
      </c>
      <c r="H54" s="3" t="s">
        <v>62</v>
      </c>
      <c r="I54" s="3" t="s">
        <v>63</v>
      </c>
      <c r="J54" s="3" t="s">
        <v>62</v>
      </c>
      <c r="K54" s="3" t="s">
        <v>62</v>
      </c>
      <c r="L54" s="3" t="s">
        <v>64</v>
      </c>
      <c r="M54" s="2" t="s">
        <v>765</v>
      </c>
      <c r="N54" s="2" t="s">
        <v>766</v>
      </c>
      <c r="O54" s="3" t="s">
        <v>767</v>
      </c>
      <c r="Q54" s="3" t="s">
        <v>68</v>
      </c>
      <c r="R54" s="3" t="s">
        <v>87</v>
      </c>
      <c r="S54" s="2" t="s">
        <v>768</v>
      </c>
      <c r="T54" s="3" t="s">
        <v>70</v>
      </c>
      <c r="U54" s="4">
        <v>2</v>
      </c>
      <c r="V54" s="4">
        <v>2</v>
      </c>
      <c r="W54" s="5" t="s">
        <v>769</v>
      </c>
      <c r="X54" s="5" t="s">
        <v>769</v>
      </c>
      <c r="Y54" s="5" t="s">
        <v>457</v>
      </c>
      <c r="Z54" s="5" t="s">
        <v>457</v>
      </c>
      <c r="AA54" s="4">
        <v>206</v>
      </c>
      <c r="AB54" s="4">
        <v>185</v>
      </c>
      <c r="AC54" s="4">
        <v>191</v>
      </c>
      <c r="AD54" s="4">
        <v>1</v>
      </c>
      <c r="AE54" s="4">
        <v>1</v>
      </c>
      <c r="AF54" s="4">
        <v>8</v>
      </c>
      <c r="AG54" s="4">
        <v>8</v>
      </c>
      <c r="AH54" s="4">
        <v>4</v>
      </c>
      <c r="AI54" s="4">
        <v>4</v>
      </c>
      <c r="AJ54" s="4">
        <v>1</v>
      </c>
      <c r="AK54" s="4">
        <v>1</v>
      </c>
      <c r="AL54" s="4">
        <v>4</v>
      </c>
      <c r="AM54" s="4">
        <v>4</v>
      </c>
      <c r="AN54" s="4">
        <v>0</v>
      </c>
      <c r="AO54" s="4">
        <v>0</v>
      </c>
      <c r="AP54" s="4">
        <v>0</v>
      </c>
      <c r="AQ54" s="4">
        <v>0</v>
      </c>
      <c r="AR54" s="3" t="s">
        <v>62</v>
      </c>
      <c r="AS54" s="3" t="s">
        <v>62</v>
      </c>
      <c r="AU54" s="6" t="str">
        <f>HYPERLINK("https://creighton-primo.hosted.exlibrisgroup.com/primo-explore/search?tab=default_tab&amp;search_scope=EVERYTHING&amp;vid=01CRU&amp;lang=en_US&amp;offset=0&amp;query=any,contains,991000065129702656","Catalog Record")</f>
        <v>Catalog Record</v>
      </c>
      <c r="AV54" s="6" t="str">
        <f>HYPERLINK("http://www.worldcat.org/oclc/26267","WorldCat Record")</f>
        <v>WorldCat Record</v>
      </c>
      <c r="AW54" s="3" t="s">
        <v>770</v>
      </c>
      <c r="AX54" s="3" t="s">
        <v>771</v>
      </c>
      <c r="AY54" s="3" t="s">
        <v>772</v>
      </c>
      <c r="AZ54" s="3" t="s">
        <v>772</v>
      </c>
      <c r="BA54" s="3" t="s">
        <v>773</v>
      </c>
      <c r="BB54" s="3" t="s">
        <v>77</v>
      </c>
      <c r="BE54" s="3" t="s">
        <v>774</v>
      </c>
      <c r="BF54" s="3" t="s">
        <v>775</v>
      </c>
    </row>
    <row r="55" spans="1:58" ht="36.75" customHeight="1" x14ac:dyDescent="0.25">
      <c r="A55" s="7" t="s">
        <v>62</v>
      </c>
      <c r="B55" s="2" t="s">
        <v>57</v>
      </c>
      <c r="C55" s="2" t="s">
        <v>58</v>
      </c>
      <c r="D55" s="2" t="s">
        <v>776</v>
      </c>
      <c r="E55" s="2" t="s">
        <v>777</v>
      </c>
      <c r="F55" s="2" t="s">
        <v>778</v>
      </c>
      <c r="H55" s="3" t="s">
        <v>62</v>
      </c>
      <c r="I55" s="3" t="s">
        <v>63</v>
      </c>
      <c r="J55" s="3" t="s">
        <v>62</v>
      </c>
      <c r="K55" s="3" t="s">
        <v>62</v>
      </c>
      <c r="L55" s="3" t="s">
        <v>64</v>
      </c>
      <c r="M55" s="2" t="s">
        <v>779</v>
      </c>
      <c r="N55" s="2" t="s">
        <v>780</v>
      </c>
      <c r="O55" s="3" t="s">
        <v>781</v>
      </c>
      <c r="Q55" s="3" t="s">
        <v>68</v>
      </c>
      <c r="R55" s="3" t="s">
        <v>87</v>
      </c>
      <c r="T55" s="3" t="s">
        <v>70</v>
      </c>
      <c r="U55" s="4">
        <v>4</v>
      </c>
      <c r="V55" s="4">
        <v>4</v>
      </c>
      <c r="W55" s="5" t="s">
        <v>782</v>
      </c>
      <c r="X55" s="5" t="s">
        <v>782</v>
      </c>
      <c r="Y55" s="5" t="s">
        <v>741</v>
      </c>
      <c r="Z55" s="5" t="s">
        <v>741</v>
      </c>
      <c r="AA55" s="4">
        <v>596</v>
      </c>
      <c r="AB55" s="4">
        <v>545</v>
      </c>
      <c r="AC55" s="4">
        <v>793</v>
      </c>
      <c r="AD55" s="4">
        <v>4</v>
      </c>
      <c r="AE55" s="4">
        <v>5</v>
      </c>
      <c r="AF55" s="4">
        <v>22</v>
      </c>
      <c r="AG55" s="4">
        <v>35</v>
      </c>
      <c r="AH55" s="4">
        <v>8</v>
      </c>
      <c r="AI55" s="4">
        <v>14</v>
      </c>
      <c r="AJ55" s="4">
        <v>5</v>
      </c>
      <c r="AK55" s="4">
        <v>7</v>
      </c>
      <c r="AL55" s="4">
        <v>10</v>
      </c>
      <c r="AM55" s="4">
        <v>18</v>
      </c>
      <c r="AN55" s="4">
        <v>2</v>
      </c>
      <c r="AO55" s="4">
        <v>3</v>
      </c>
      <c r="AP55" s="4">
        <v>0</v>
      </c>
      <c r="AQ55" s="4">
        <v>0</v>
      </c>
      <c r="AR55" s="3" t="s">
        <v>62</v>
      </c>
      <c r="AS55" s="3" t="s">
        <v>62</v>
      </c>
      <c r="AT55" s="6" t="str">
        <f>HYPERLINK("http://catalog.hathitrust.org/Record/001401679","HathiTrust Record")</f>
        <v>HathiTrust Record</v>
      </c>
      <c r="AU55" s="6" t="str">
        <f>HYPERLINK("https://creighton-primo.hosted.exlibrisgroup.com/primo-explore/search?tab=default_tab&amp;search_scope=EVERYTHING&amp;vid=01CRU&amp;lang=en_US&amp;offset=0&amp;query=any,contains,991002603009702656","Catalog Record")</f>
        <v>Catalog Record</v>
      </c>
      <c r="AV55" s="6" t="str">
        <f>HYPERLINK("http://www.worldcat.org/oclc/377299","WorldCat Record")</f>
        <v>WorldCat Record</v>
      </c>
      <c r="AW55" s="3" t="s">
        <v>783</v>
      </c>
      <c r="AX55" s="3" t="s">
        <v>784</v>
      </c>
      <c r="AY55" s="3" t="s">
        <v>785</v>
      </c>
      <c r="AZ55" s="3" t="s">
        <v>785</v>
      </c>
      <c r="BA55" s="3" t="s">
        <v>786</v>
      </c>
      <c r="BB55" s="3" t="s">
        <v>77</v>
      </c>
      <c r="BE55" s="3" t="s">
        <v>787</v>
      </c>
      <c r="BF55" s="3" t="s">
        <v>788</v>
      </c>
    </row>
    <row r="56" spans="1:58" ht="36.75" customHeight="1" x14ac:dyDescent="0.25">
      <c r="A56" s="7" t="s">
        <v>62</v>
      </c>
      <c r="B56" s="2" t="s">
        <v>57</v>
      </c>
      <c r="C56" s="2" t="s">
        <v>58</v>
      </c>
      <c r="D56" s="2" t="s">
        <v>789</v>
      </c>
      <c r="E56" s="2" t="s">
        <v>790</v>
      </c>
      <c r="F56" s="2" t="s">
        <v>791</v>
      </c>
      <c r="H56" s="3" t="s">
        <v>62</v>
      </c>
      <c r="I56" s="3" t="s">
        <v>63</v>
      </c>
      <c r="J56" s="3" t="s">
        <v>62</v>
      </c>
      <c r="K56" s="3" t="s">
        <v>62</v>
      </c>
      <c r="L56" s="3" t="s">
        <v>64</v>
      </c>
      <c r="M56" s="2" t="s">
        <v>779</v>
      </c>
      <c r="N56" s="2" t="s">
        <v>792</v>
      </c>
      <c r="O56" s="3" t="s">
        <v>455</v>
      </c>
      <c r="Q56" s="3" t="s">
        <v>68</v>
      </c>
      <c r="R56" s="3" t="s">
        <v>372</v>
      </c>
      <c r="T56" s="3" t="s">
        <v>70</v>
      </c>
      <c r="U56" s="4">
        <v>3</v>
      </c>
      <c r="V56" s="4">
        <v>3</v>
      </c>
      <c r="W56" s="5" t="s">
        <v>793</v>
      </c>
      <c r="X56" s="5" t="s">
        <v>793</v>
      </c>
      <c r="Y56" s="5" t="s">
        <v>741</v>
      </c>
      <c r="Z56" s="5" t="s">
        <v>741</v>
      </c>
      <c r="AA56" s="4">
        <v>333</v>
      </c>
      <c r="AB56" s="4">
        <v>291</v>
      </c>
      <c r="AC56" s="4">
        <v>383</v>
      </c>
      <c r="AD56" s="4">
        <v>3</v>
      </c>
      <c r="AE56" s="4">
        <v>3</v>
      </c>
      <c r="AF56" s="4">
        <v>17</v>
      </c>
      <c r="AG56" s="4">
        <v>18</v>
      </c>
      <c r="AH56" s="4">
        <v>6</v>
      </c>
      <c r="AI56" s="4">
        <v>6</v>
      </c>
      <c r="AJ56" s="4">
        <v>3</v>
      </c>
      <c r="AK56" s="4">
        <v>4</v>
      </c>
      <c r="AL56" s="4">
        <v>8</v>
      </c>
      <c r="AM56" s="4">
        <v>9</v>
      </c>
      <c r="AN56" s="4">
        <v>2</v>
      </c>
      <c r="AO56" s="4">
        <v>2</v>
      </c>
      <c r="AP56" s="4">
        <v>0</v>
      </c>
      <c r="AQ56" s="4">
        <v>0</v>
      </c>
      <c r="AR56" s="3" t="s">
        <v>62</v>
      </c>
      <c r="AS56" s="3" t="s">
        <v>84</v>
      </c>
      <c r="AT56" s="6" t="str">
        <f>HYPERLINK("http://catalog.hathitrust.org/Record/101870721","HathiTrust Record")</f>
        <v>HathiTrust Record</v>
      </c>
      <c r="AU56" s="6" t="str">
        <f>HYPERLINK("https://creighton-primo.hosted.exlibrisgroup.com/primo-explore/search?tab=default_tab&amp;search_scope=EVERYTHING&amp;vid=01CRU&amp;lang=en_US&amp;offset=0&amp;query=any,contains,991000666859702656","Catalog Record")</f>
        <v>Catalog Record</v>
      </c>
      <c r="AV56" s="6" t="str">
        <f>HYPERLINK("http://www.worldcat.org/oclc/118634","WorldCat Record")</f>
        <v>WorldCat Record</v>
      </c>
      <c r="AW56" s="3" t="s">
        <v>794</v>
      </c>
      <c r="AX56" s="3" t="s">
        <v>795</v>
      </c>
      <c r="AY56" s="3" t="s">
        <v>796</v>
      </c>
      <c r="AZ56" s="3" t="s">
        <v>796</v>
      </c>
      <c r="BA56" s="3" t="s">
        <v>797</v>
      </c>
      <c r="BB56" s="3" t="s">
        <v>77</v>
      </c>
      <c r="BD56" s="3" t="s">
        <v>798</v>
      </c>
      <c r="BE56" s="3" t="s">
        <v>799</v>
      </c>
      <c r="BF56" s="3" t="s">
        <v>800</v>
      </c>
    </row>
    <row r="57" spans="1:58" ht="36.75" customHeight="1" x14ac:dyDescent="0.25">
      <c r="A57" s="7" t="s">
        <v>62</v>
      </c>
      <c r="B57" s="2" t="s">
        <v>57</v>
      </c>
      <c r="C57" s="2" t="s">
        <v>58</v>
      </c>
      <c r="D57" s="2" t="s">
        <v>801</v>
      </c>
      <c r="E57" s="2" t="s">
        <v>802</v>
      </c>
      <c r="F57" s="2" t="s">
        <v>803</v>
      </c>
      <c r="H57" s="3" t="s">
        <v>62</v>
      </c>
      <c r="I57" s="3" t="s">
        <v>63</v>
      </c>
      <c r="J57" s="3" t="s">
        <v>62</v>
      </c>
      <c r="K57" s="3" t="s">
        <v>62</v>
      </c>
      <c r="L57" s="3" t="s">
        <v>64</v>
      </c>
      <c r="M57" s="2" t="s">
        <v>804</v>
      </c>
      <c r="N57" s="2" t="s">
        <v>805</v>
      </c>
      <c r="O57" s="3" t="s">
        <v>161</v>
      </c>
      <c r="Q57" s="3" t="s">
        <v>68</v>
      </c>
      <c r="R57" s="3" t="s">
        <v>87</v>
      </c>
      <c r="S57" s="2" t="s">
        <v>806</v>
      </c>
      <c r="T57" s="3" t="s">
        <v>70</v>
      </c>
      <c r="U57" s="4">
        <v>2</v>
      </c>
      <c r="V57" s="4">
        <v>2</v>
      </c>
      <c r="W57" s="5" t="s">
        <v>807</v>
      </c>
      <c r="X57" s="5" t="s">
        <v>807</v>
      </c>
      <c r="Y57" s="5" t="s">
        <v>741</v>
      </c>
      <c r="Z57" s="5" t="s">
        <v>741</v>
      </c>
      <c r="AA57" s="4">
        <v>198</v>
      </c>
      <c r="AB57" s="4">
        <v>181</v>
      </c>
      <c r="AC57" s="4">
        <v>262</v>
      </c>
      <c r="AD57" s="4">
        <v>2</v>
      </c>
      <c r="AE57" s="4">
        <v>2</v>
      </c>
      <c r="AF57" s="4">
        <v>7</v>
      </c>
      <c r="AG57" s="4">
        <v>10</v>
      </c>
      <c r="AH57" s="4">
        <v>4</v>
      </c>
      <c r="AI57" s="4">
        <v>4</v>
      </c>
      <c r="AJ57" s="4">
        <v>2</v>
      </c>
      <c r="AK57" s="4">
        <v>4</v>
      </c>
      <c r="AL57" s="4">
        <v>2</v>
      </c>
      <c r="AM57" s="4">
        <v>4</v>
      </c>
      <c r="AN57" s="4">
        <v>1</v>
      </c>
      <c r="AO57" s="4">
        <v>1</v>
      </c>
      <c r="AP57" s="4">
        <v>0</v>
      </c>
      <c r="AQ57" s="4">
        <v>0</v>
      </c>
      <c r="AR57" s="3" t="s">
        <v>62</v>
      </c>
      <c r="AS57" s="3" t="s">
        <v>62</v>
      </c>
      <c r="AU57" s="6" t="str">
        <f>HYPERLINK("https://creighton-primo.hosted.exlibrisgroup.com/primo-explore/search?tab=default_tab&amp;search_scope=EVERYTHING&amp;vid=01CRU&amp;lang=en_US&amp;offset=0&amp;query=any,contains,991001906379702656","Catalog Record")</f>
        <v>Catalog Record</v>
      </c>
      <c r="AV57" s="6" t="str">
        <f>HYPERLINK("http://www.worldcat.org/oclc/240658","WorldCat Record")</f>
        <v>WorldCat Record</v>
      </c>
      <c r="AW57" s="3" t="s">
        <v>808</v>
      </c>
      <c r="AX57" s="3" t="s">
        <v>809</v>
      </c>
      <c r="AY57" s="3" t="s">
        <v>810</v>
      </c>
      <c r="AZ57" s="3" t="s">
        <v>810</v>
      </c>
      <c r="BA57" s="3" t="s">
        <v>811</v>
      </c>
      <c r="BB57" s="3" t="s">
        <v>77</v>
      </c>
      <c r="BD57" s="3" t="s">
        <v>812</v>
      </c>
      <c r="BE57" s="3" t="s">
        <v>813</v>
      </c>
      <c r="BF57" s="3" t="s">
        <v>814</v>
      </c>
    </row>
    <row r="58" spans="1:58" ht="36.75" customHeight="1" x14ac:dyDescent="0.25">
      <c r="A58" s="7" t="s">
        <v>62</v>
      </c>
      <c r="B58" s="2" t="s">
        <v>57</v>
      </c>
      <c r="C58" s="2" t="s">
        <v>58</v>
      </c>
      <c r="D58" s="2" t="s">
        <v>815</v>
      </c>
      <c r="E58" s="2" t="s">
        <v>816</v>
      </c>
      <c r="F58" s="2" t="s">
        <v>817</v>
      </c>
      <c r="G58" s="3" t="s">
        <v>818</v>
      </c>
      <c r="H58" s="3" t="s">
        <v>84</v>
      </c>
      <c r="I58" s="3" t="s">
        <v>63</v>
      </c>
      <c r="J58" s="3" t="s">
        <v>62</v>
      </c>
      <c r="K58" s="3" t="s">
        <v>62</v>
      </c>
      <c r="L58" s="3" t="s">
        <v>64</v>
      </c>
      <c r="N58" s="2" t="s">
        <v>819</v>
      </c>
      <c r="O58" s="3" t="s">
        <v>105</v>
      </c>
      <c r="Q58" s="3" t="s">
        <v>68</v>
      </c>
      <c r="R58" s="3" t="s">
        <v>441</v>
      </c>
      <c r="S58" s="2" t="s">
        <v>820</v>
      </c>
      <c r="T58" s="3" t="s">
        <v>70</v>
      </c>
      <c r="U58" s="4">
        <v>1</v>
      </c>
      <c r="V58" s="4">
        <v>1</v>
      </c>
      <c r="W58" s="5" t="s">
        <v>821</v>
      </c>
      <c r="X58" s="5" t="s">
        <v>821</v>
      </c>
      <c r="Y58" s="5" t="s">
        <v>821</v>
      </c>
      <c r="Z58" s="5" t="s">
        <v>821</v>
      </c>
      <c r="AA58" s="4">
        <v>457</v>
      </c>
      <c r="AB58" s="4">
        <v>364</v>
      </c>
      <c r="AC58" s="4">
        <v>366</v>
      </c>
      <c r="AD58" s="4">
        <v>1</v>
      </c>
      <c r="AE58" s="4">
        <v>1</v>
      </c>
      <c r="AF58" s="4">
        <v>21</v>
      </c>
      <c r="AG58" s="4">
        <v>21</v>
      </c>
      <c r="AH58" s="4">
        <v>10</v>
      </c>
      <c r="AI58" s="4">
        <v>10</v>
      </c>
      <c r="AJ58" s="4">
        <v>3</v>
      </c>
      <c r="AK58" s="4">
        <v>3</v>
      </c>
      <c r="AL58" s="4">
        <v>13</v>
      </c>
      <c r="AM58" s="4">
        <v>13</v>
      </c>
      <c r="AN58" s="4">
        <v>0</v>
      </c>
      <c r="AO58" s="4">
        <v>0</v>
      </c>
      <c r="AP58" s="4">
        <v>0</v>
      </c>
      <c r="AQ58" s="4">
        <v>0</v>
      </c>
      <c r="AR58" s="3" t="s">
        <v>62</v>
      </c>
      <c r="AS58" s="3" t="s">
        <v>84</v>
      </c>
      <c r="AT58" s="6" t="str">
        <f>HYPERLINK("http://catalog.hathitrust.org/Record/003561340","HathiTrust Record")</f>
        <v>HathiTrust Record</v>
      </c>
      <c r="AU58" s="6" t="str">
        <f>HYPERLINK("https://creighton-primo.hosted.exlibrisgroup.com/primo-explore/search?tab=default_tab&amp;search_scope=EVERYTHING&amp;vid=01CRU&amp;lang=en_US&amp;offset=0&amp;query=any,contains,991005359299702656","Catalog Record")</f>
        <v>Catalog Record</v>
      </c>
      <c r="AV58" s="6" t="str">
        <f>HYPERLINK("http://www.worldcat.org/oclc/15549071","WorldCat Record")</f>
        <v>WorldCat Record</v>
      </c>
      <c r="AW58" s="3" t="s">
        <v>822</v>
      </c>
      <c r="AX58" s="3" t="s">
        <v>823</v>
      </c>
      <c r="AY58" s="3" t="s">
        <v>824</v>
      </c>
      <c r="AZ58" s="3" t="s">
        <v>824</v>
      </c>
      <c r="BA58" s="3" t="s">
        <v>825</v>
      </c>
      <c r="BB58" s="3" t="s">
        <v>77</v>
      </c>
      <c r="BD58" s="3" t="s">
        <v>826</v>
      </c>
      <c r="BE58" s="3" t="s">
        <v>827</v>
      </c>
      <c r="BF58" s="3" t="s">
        <v>828</v>
      </c>
    </row>
    <row r="59" spans="1:58" ht="36.75" customHeight="1" x14ac:dyDescent="0.25">
      <c r="A59" s="7" t="s">
        <v>62</v>
      </c>
      <c r="B59" s="2" t="s">
        <v>57</v>
      </c>
      <c r="C59" s="2" t="s">
        <v>58</v>
      </c>
      <c r="D59" s="2" t="s">
        <v>829</v>
      </c>
      <c r="E59" s="2" t="s">
        <v>830</v>
      </c>
      <c r="F59" s="2" t="s">
        <v>831</v>
      </c>
      <c r="H59" s="3" t="s">
        <v>62</v>
      </c>
      <c r="I59" s="3" t="s">
        <v>63</v>
      </c>
      <c r="J59" s="3" t="s">
        <v>62</v>
      </c>
      <c r="K59" s="3" t="s">
        <v>62</v>
      </c>
      <c r="L59" s="3" t="s">
        <v>64</v>
      </c>
      <c r="M59" s="2" t="s">
        <v>832</v>
      </c>
      <c r="N59" s="2" t="s">
        <v>833</v>
      </c>
      <c r="O59" s="3" t="s">
        <v>767</v>
      </c>
      <c r="Q59" s="3" t="s">
        <v>68</v>
      </c>
      <c r="R59" s="3" t="s">
        <v>359</v>
      </c>
      <c r="S59" s="2" t="s">
        <v>834</v>
      </c>
      <c r="T59" s="3" t="s">
        <v>70</v>
      </c>
      <c r="U59" s="4">
        <v>3</v>
      </c>
      <c r="V59" s="4">
        <v>3</v>
      </c>
      <c r="W59" s="5" t="s">
        <v>835</v>
      </c>
      <c r="X59" s="5" t="s">
        <v>835</v>
      </c>
      <c r="Y59" s="5" t="s">
        <v>457</v>
      </c>
      <c r="Z59" s="5" t="s">
        <v>457</v>
      </c>
      <c r="AA59" s="4">
        <v>374</v>
      </c>
      <c r="AB59" s="4">
        <v>247</v>
      </c>
      <c r="AC59" s="4">
        <v>249</v>
      </c>
      <c r="AD59" s="4">
        <v>3</v>
      </c>
      <c r="AE59" s="4">
        <v>3</v>
      </c>
      <c r="AF59" s="4">
        <v>17</v>
      </c>
      <c r="AG59" s="4">
        <v>17</v>
      </c>
      <c r="AH59" s="4">
        <v>7</v>
      </c>
      <c r="AI59" s="4">
        <v>7</v>
      </c>
      <c r="AJ59" s="4">
        <v>5</v>
      </c>
      <c r="AK59" s="4">
        <v>5</v>
      </c>
      <c r="AL59" s="4">
        <v>10</v>
      </c>
      <c r="AM59" s="4">
        <v>10</v>
      </c>
      <c r="AN59" s="4">
        <v>1</v>
      </c>
      <c r="AO59" s="4">
        <v>1</v>
      </c>
      <c r="AP59" s="4">
        <v>0</v>
      </c>
      <c r="AQ59" s="4">
        <v>0</v>
      </c>
      <c r="AR59" s="3" t="s">
        <v>62</v>
      </c>
      <c r="AS59" s="3" t="s">
        <v>84</v>
      </c>
      <c r="AT59" s="6" t="str">
        <f>HYPERLINK("http://catalog.hathitrust.org/Record/001928850","HathiTrust Record")</f>
        <v>HathiTrust Record</v>
      </c>
      <c r="AU59" s="6" t="str">
        <f>HYPERLINK("https://creighton-primo.hosted.exlibrisgroup.com/primo-explore/search?tab=default_tab&amp;search_scope=EVERYTHING&amp;vid=01CRU&amp;lang=en_US&amp;offset=0&amp;query=any,contains,991000136209702656","Catalog Record")</f>
        <v>Catalog Record</v>
      </c>
      <c r="AV59" s="6" t="str">
        <f>HYPERLINK("http://www.worldcat.org/oclc/56411","WorldCat Record")</f>
        <v>WorldCat Record</v>
      </c>
      <c r="AW59" s="3" t="s">
        <v>836</v>
      </c>
      <c r="AX59" s="3" t="s">
        <v>837</v>
      </c>
      <c r="AY59" s="3" t="s">
        <v>838</v>
      </c>
      <c r="AZ59" s="3" t="s">
        <v>838</v>
      </c>
      <c r="BA59" s="3" t="s">
        <v>839</v>
      </c>
      <c r="BB59" s="3" t="s">
        <v>77</v>
      </c>
      <c r="BD59" s="3" t="s">
        <v>840</v>
      </c>
      <c r="BE59" s="3" t="s">
        <v>841</v>
      </c>
      <c r="BF59" s="3" t="s">
        <v>842</v>
      </c>
    </row>
    <row r="60" spans="1:58" ht="36.75" customHeight="1" x14ac:dyDescent="0.25">
      <c r="A60" s="7" t="s">
        <v>62</v>
      </c>
      <c r="B60" s="2" t="s">
        <v>57</v>
      </c>
      <c r="C60" s="2" t="s">
        <v>58</v>
      </c>
      <c r="D60" s="2" t="s">
        <v>843</v>
      </c>
      <c r="E60" s="2" t="s">
        <v>844</v>
      </c>
      <c r="F60" s="2" t="s">
        <v>845</v>
      </c>
      <c r="H60" s="3" t="s">
        <v>62</v>
      </c>
      <c r="I60" s="3" t="s">
        <v>63</v>
      </c>
      <c r="J60" s="3" t="s">
        <v>62</v>
      </c>
      <c r="K60" s="3" t="s">
        <v>62</v>
      </c>
      <c r="L60" s="3" t="s">
        <v>64</v>
      </c>
      <c r="M60" s="2" t="s">
        <v>846</v>
      </c>
      <c r="N60" s="2" t="s">
        <v>847</v>
      </c>
      <c r="O60" s="3" t="s">
        <v>333</v>
      </c>
      <c r="Q60" s="3" t="s">
        <v>68</v>
      </c>
      <c r="R60" s="3" t="s">
        <v>87</v>
      </c>
      <c r="T60" s="3" t="s">
        <v>70</v>
      </c>
      <c r="U60" s="4">
        <v>5</v>
      </c>
      <c r="V60" s="4">
        <v>5</v>
      </c>
      <c r="W60" s="5" t="s">
        <v>848</v>
      </c>
      <c r="X60" s="5" t="s">
        <v>848</v>
      </c>
      <c r="Y60" s="5" t="s">
        <v>457</v>
      </c>
      <c r="Z60" s="5" t="s">
        <v>457</v>
      </c>
      <c r="AA60" s="4">
        <v>1349</v>
      </c>
      <c r="AB60" s="4">
        <v>1251</v>
      </c>
      <c r="AC60" s="4">
        <v>1317</v>
      </c>
      <c r="AD60" s="4">
        <v>11</v>
      </c>
      <c r="AE60" s="4">
        <v>11</v>
      </c>
      <c r="AF60" s="4">
        <v>41</v>
      </c>
      <c r="AG60" s="4">
        <v>42</v>
      </c>
      <c r="AH60" s="4">
        <v>20</v>
      </c>
      <c r="AI60" s="4">
        <v>20</v>
      </c>
      <c r="AJ60" s="4">
        <v>5</v>
      </c>
      <c r="AK60" s="4">
        <v>6</v>
      </c>
      <c r="AL60" s="4">
        <v>19</v>
      </c>
      <c r="AM60" s="4">
        <v>20</v>
      </c>
      <c r="AN60" s="4">
        <v>6</v>
      </c>
      <c r="AO60" s="4">
        <v>6</v>
      </c>
      <c r="AP60" s="4">
        <v>0</v>
      </c>
      <c r="AQ60" s="4">
        <v>0</v>
      </c>
      <c r="AR60" s="3" t="s">
        <v>62</v>
      </c>
      <c r="AS60" s="3" t="s">
        <v>62</v>
      </c>
      <c r="AU60" s="6" t="str">
        <f>HYPERLINK("https://creighton-primo.hosted.exlibrisgroup.com/primo-explore/search?tab=default_tab&amp;search_scope=EVERYTHING&amp;vid=01CRU&amp;lang=en_US&amp;offset=0&amp;query=any,contains,991003117949702656","Catalog Record")</f>
        <v>Catalog Record</v>
      </c>
      <c r="AV60" s="6" t="str">
        <f>HYPERLINK("http://www.worldcat.org/oclc/664060","WorldCat Record")</f>
        <v>WorldCat Record</v>
      </c>
      <c r="AW60" s="3" t="s">
        <v>849</v>
      </c>
      <c r="AX60" s="3" t="s">
        <v>850</v>
      </c>
      <c r="AY60" s="3" t="s">
        <v>851</v>
      </c>
      <c r="AZ60" s="3" t="s">
        <v>851</v>
      </c>
      <c r="BA60" s="3" t="s">
        <v>852</v>
      </c>
      <c r="BB60" s="3" t="s">
        <v>77</v>
      </c>
      <c r="BE60" s="3" t="s">
        <v>853</v>
      </c>
      <c r="BF60" s="3" t="s">
        <v>854</v>
      </c>
    </row>
    <row r="61" spans="1:58" ht="36.75" customHeight="1" x14ac:dyDescent="0.25">
      <c r="A61" s="7" t="s">
        <v>62</v>
      </c>
      <c r="B61" s="2" t="s">
        <v>57</v>
      </c>
      <c r="C61" s="2" t="s">
        <v>58</v>
      </c>
      <c r="D61" s="2" t="s">
        <v>855</v>
      </c>
      <c r="E61" s="2" t="s">
        <v>856</v>
      </c>
      <c r="F61" s="2" t="s">
        <v>857</v>
      </c>
      <c r="H61" s="3" t="s">
        <v>62</v>
      </c>
      <c r="I61" s="3" t="s">
        <v>63</v>
      </c>
      <c r="J61" s="3" t="s">
        <v>62</v>
      </c>
      <c r="K61" s="3" t="s">
        <v>62</v>
      </c>
      <c r="L61" s="3" t="s">
        <v>64</v>
      </c>
      <c r="M61" s="2" t="s">
        <v>858</v>
      </c>
      <c r="N61" s="2" t="s">
        <v>859</v>
      </c>
      <c r="O61" s="3" t="s">
        <v>161</v>
      </c>
      <c r="Q61" s="3" t="s">
        <v>68</v>
      </c>
      <c r="R61" s="3" t="s">
        <v>87</v>
      </c>
      <c r="T61" s="3" t="s">
        <v>70</v>
      </c>
      <c r="U61" s="4">
        <v>2</v>
      </c>
      <c r="V61" s="4">
        <v>2</v>
      </c>
      <c r="W61" s="5" t="s">
        <v>860</v>
      </c>
      <c r="X61" s="5" t="s">
        <v>860</v>
      </c>
      <c r="Y61" s="5" t="s">
        <v>457</v>
      </c>
      <c r="Z61" s="5" t="s">
        <v>457</v>
      </c>
      <c r="AA61" s="4">
        <v>125</v>
      </c>
      <c r="AB61" s="4">
        <v>99</v>
      </c>
      <c r="AC61" s="4">
        <v>569</v>
      </c>
      <c r="AD61" s="4">
        <v>1</v>
      </c>
      <c r="AE61" s="4">
        <v>4</v>
      </c>
      <c r="AF61" s="4">
        <v>5</v>
      </c>
      <c r="AG61" s="4">
        <v>27</v>
      </c>
      <c r="AH61" s="4">
        <v>3</v>
      </c>
      <c r="AI61" s="4">
        <v>11</v>
      </c>
      <c r="AJ61" s="4">
        <v>2</v>
      </c>
      <c r="AK61" s="4">
        <v>7</v>
      </c>
      <c r="AL61" s="4">
        <v>3</v>
      </c>
      <c r="AM61" s="4">
        <v>16</v>
      </c>
      <c r="AN61" s="4">
        <v>0</v>
      </c>
      <c r="AO61" s="4">
        <v>2</v>
      </c>
      <c r="AP61" s="4">
        <v>0</v>
      </c>
      <c r="AQ61" s="4">
        <v>0</v>
      </c>
      <c r="AR61" s="3" t="s">
        <v>62</v>
      </c>
      <c r="AS61" s="3" t="s">
        <v>62</v>
      </c>
      <c r="AU61" s="6" t="str">
        <f>HYPERLINK("https://creighton-primo.hosted.exlibrisgroup.com/primo-explore/search?tab=default_tab&amp;search_scope=EVERYTHING&amp;vid=01CRU&amp;lang=en_US&amp;offset=0&amp;query=any,contains,991002693319702656","Catalog Record")</f>
        <v>Catalog Record</v>
      </c>
      <c r="AV61" s="6" t="str">
        <f>HYPERLINK("http://www.worldcat.org/oclc/402365","WorldCat Record")</f>
        <v>WorldCat Record</v>
      </c>
      <c r="AW61" s="3" t="s">
        <v>861</v>
      </c>
      <c r="AX61" s="3" t="s">
        <v>862</v>
      </c>
      <c r="AY61" s="3" t="s">
        <v>863</v>
      </c>
      <c r="AZ61" s="3" t="s">
        <v>863</v>
      </c>
      <c r="BA61" s="3" t="s">
        <v>864</v>
      </c>
      <c r="BB61" s="3" t="s">
        <v>77</v>
      </c>
      <c r="BD61" s="3" t="s">
        <v>865</v>
      </c>
      <c r="BE61" s="3" t="s">
        <v>866</v>
      </c>
      <c r="BF61" s="3" t="s">
        <v>867</v>
      </c>
    </row>
    <row r="62" spans="1:58" ht="36.75" customHeight="1" x14ac:dyDescent="0.25">
      <c r="A62" s="7" t="s">
        <v>62</v>
      </c>
      <c r="B62" s="2" t="s">
        <v>57</v>
      </c>
      <c r="C62" s="2" t="s">
        <v>58</v>
      </c>
      <c r="D62" s="2" t="s">
        <v>868</v>
      </c>
      <c r="E62" s="2" t="s">
        <v>869</v>
      </c>
      <c r="F62" s="2" t="s">
        <v>870</v>
      </c>
      <c r="H62" s="3" t="s">
        <v>62</v>
      </c>
      <c r="I62" s="3" t="s">
        <v>63</v>
      </c>
      <c r="J62" s="3" t="s">
        <v>62</v>
      </c>
      <c r="K62" s="3" t="s">
        <v>62</v>
      </c>
      <c r="L62" s="3" t="s">
        <v>64</v>
      </c>
      <c r="M62" s="2" t="s">
        <v>871</v>
      </c>
      <c r="N62" s="2" t="s">
        <v>872</v>
      </c>
      <c r="O62" s="3" t="s">
        <v>276</v>
      </c>
      <c r="Q62" s="3" t="s">
        <v>68</v>
      </c>
      <c r="R62" s="3" t="s">
        <v>87</v>
      </c>
      <c r="T62" s="3" t="s">
        <v>70</v>
      </c>
      <c r="U62" s="4">
        <v>5</v>
      </c>
      <c r="V62" s="4">
        <v>5</v>
      </c>
      <c r="W62" s="5" t="s">
        <v>873</v>
      </c>
      <c r="X62" s="5" t="s">
        <v>873</v>
      </c>
      <c r="Y62" s="5" t="s">
        <v>457</v>
      </c>
      <c r="Z62" s="5" t="s">
        <v>457</v>
      </c>
      <c r="AA62" s="4">
        <v>380</v>
      </c>
      <c r="AB62" s="4">
        <v>314</v>
      </c>
      <c r="AC62" s="4">
        <v>322</v>
      </c>
      <c r="AD62" s="4">
        <v>3</v>
      </c>
      <c r="AE62" s="4">
        <v>3</v>
      </c>
      <c r="AF62" s="4">
        <v>21</v>
      </c>
      <c r="AG62" s="4">
        <v>21</v>
      </c>
      <c r="AH62" s="4">
        <v>6</v>
      </c>
      <c r="AI62" s="4">
        <v>6</v>
      </c>
      <c r="AJ62" s="4">
        <v>5</v>
      </c>
      <c r="AK62" s="4">
        <v>5</v>
      </c>
      <c r="AL62" s="4">
        <v>14</v>
      </c>
      <c r="AM62" s="4">
        <v>14</v>
      </c>
      <c r="AN62" s="4">
        <v>2</v>
      </c>
      <c r="AO62" s="4">
        <v>2</v>
      </c>
      <c r="AP62" s="4">
        <v>0</v>
      </c>
      <c r="AQ62" s="4">
        <v>0</v>
      </c>
      <c r="AR62" s="3" t="s">
        <v>62</v>
      </c>
      <c r="AS62" s="3" t="s">
        <v>84</v>
      </c>
      <c r="AT62" s="6" t="str">
        <f>HYPERLINK("http://catalog.hathitrust.org/Record/102083024","HathiTrust Record")</f>
        <v>HathiTrust Record</v>
      </c>
      <c r="AU62" s="6" t="str">
        <f>HYPERLINK("https://creighton-primo.hosted.exlibrisgroup.com/primo-explore/search?tab=default_tab&amp;search_scope=EVERYTHING&amp;vid=01CRU&amp;lang=en_US&amp;offset=0&amp;query=any,contains,991000819059702656","Catalog Record")</f>
        <v>Catalog Record</v>
      </c>
      <c r="AV62" s="6" t="str">
        <f>HYPERLINK("http://www.worldcat.org/oclc/13369469","WorldCat Record")</f>
        <v>WorldCat Record</v>
      </c>
      <c r="AW62" s="3" t="s">
        <v>874</v>
      </c>
      <c r="AX62" s="3" t="s">
        <v>875</v>
      </c>
      <c r="AY62" s="3" t="s">
        <v>876</v>
      </c>
      <c r="AZ62" s="3" t="s">
        <v>876</v>
      </c>
      <c r="BA62" s="3" t="s">
        <v>877</v>
      </c>
      <c r="BB62" s="3" t="s">
        <v>77</v>
      </c>
      <c r="BD62" s="3" t="s">
        <v>878</v>
      </c>
      <c r="BE62" s="3" t="s">
        <v>879</v>
      </c>
      <c r="BF62" s="3" t="s">
        <v>880</v>
      </c>
    </row>
    <row r="63" spans="1:58" ht="36.75" customHeight="1" x14ac:dyDescent="0.25">
      <c r="A63" s="7" t="s">
        <v>62</v>
      </c>
      <c r="B63" s="2" t="s">
        <v>57</v>
      </c>
      <c r="C63" s="2" t="s">
        <v>58</v>
      </c>
      <c r="D63" s="2" t="s">
        <v>881</v>
      </c>
      <c r="E63" s="2" t="s">
        <v>882</v>
      </c>
      <c r="F63" s="2" t="s">
        <v>883</v>
      </c>
      <c r="H63" s="3" t="s">
        <v>62</v>
      </c>
      <c r="I63" s="3" t="s">
        <v>63</v>
      </c>
      <c r="J63" s="3" t="s">
        <v>62</v>
      </c>
      <c r="K63" s="3" t="s">
        <v>62</v>
      </c>
      <c r="L63" s="3" t="s">
        <v>64</v>
      </c>
      <c r="M63" s="2" t="s">
        <v>884</v>
      </c>
      <c r="N63" s="2" t="s">
        <v>885</v>
      </c>
      <c r="O63" s="3" t="s">
        <v>886</v>
      </c>
      <c r="Q63" s="3" t="s">
        <v>68</v>
      </c>
      <c r="R63" s="3" t="s">
        <v>87</v>
      </c>
      <c r="T63" s="3" t="s">
        <v>70</v>
      </c>
      <c r="U63" s="4">
        <v>2</v>
      </c>
      <c r="V63" s="4">
        <v>2</v>
      </c>
      <c r="W63" s="5" t="s">
        <v>887</v>
      </c>
      <c r="X63" s="5" t="s">
        <v>887</v>
      </c>
      <c r="Y63" s="5" t="s">
        <v>457</v>
      </c>
      <c r="Z63" s="5" t="s">
        <v>457</v>
      </c>
      <c r="AA63" s="4">
        <v>563</v>
      </c>
      <c r="AB63" s="4">
        <v>503</v>
      </c>
      <c r="AC63" s="4">
        <v>526</v>
      </c>
      <c r="AD63" s="4">
        <v>7</v>
      </c>
      <c r="AE63" s="4">
        <v>7</v>
      </c>
      <c r="AF63" s="4">
        <v>34</v>
      </c>
      <c r="AG63" s="4">
        <v>34</v>
      </c>
      <c r="AH63" s="4">
        <v>12</v>
      </c>
      <c r="AI63" s="4">
        <v>12</v>
      </c>
      <c r="AJ63" s="4">
        <v>7</v>
      </c>
      <c r="AK63" s="4">
        <v>7</v>
      </c>
      <c r="AL63" s="4">
        <v>22</v>
      </c>
      <c r="AM63" s="4">
        <v>22</v>
      </c>
      <c r="AN63" s="4">
        <v>3</v>
      </c>
      <c r="AO63" s="4">
        <v>3</v>
      </c>
      <c r="AP63" s="4">
        <v>0</v>
      </c>
      <c r="AQ63" s="4">
        <v>0</v>
      </c>
      <c r="AR63" s="3" t="s">
        <v>62</v>
      </c>
      <c r="AS63" s="3" t="s">
        <v>62</v>
      </c>
      <c r="AT63" s="6" t="str">
        <f>HYPERLINK("http://catalog.hathitrust.org/Record/001159543","HathiTrust Record")</f>
        <v>HathiTrust Record</v>
      </c>
      <c r="AU63" s="6" t="str">
        <f>HYPERLINK("https://creighton-primo.hosted.exlibrisgroup.com/primo-explore/search?tab=default_tab&amp;search_scope=EVERYTHING&amp;vid=01CRU&amp;lang=en_US&amp;offset=0&amp;query=any,contains,991004228489702656","Catalog Record")</f>
        <v>Catalog Record</v>
      </c>
      <c r="AV63" s="6" t="str">
        <f>HYPERLINK("http://www.worldcat.org/oclc/2738385","WorldCat Record")</f>
        <v>WorldCat Record</v>
      </c>
      <c r="AW63" s="3" t="s">
        <v>888</v>
      </c>
      <c r="AX63" s="3" t="s">
        <v>889</v>
      </c>
      <c r="AY63" s="3" t="s">
        <v>890</v>
      </c>
      <c r="AZ63" s="3" t="s">
        <v>890</v>
      </c>
      <c r="BA63" s="3" t="s">
        <v>891</v>
      </c>
      <c r="BB63" s="3" t="s">
        <v>77</v>
      </c>
      <c r="BE63" s="3" t="s">
        <v>892</v>
      </c>
      <c r="BF63" s="3" t="s">
        <v>893</v>
      </c>
    </row>
    <row r="64" spans="1:58" ht="36.75" customHeight="1" x14ac:dyDescent="0.25">
      <c r="A64" s="7" t="s">
        <v>62</v>
      </c>
      <c r="B64" s="2" t="s">
        <v>57</v>
      </c>
      <c r="C64" s="2" t="s">
        <v>58</v>
      </c>
      <c r="D64" s="2" t="s">
        <v>894</v>
      </c>
      <c r="E64" s="2" t="s">
        <v>895</v>
      </c>
      <c r="F64" s="2" t="s">
        <v>896</v>
      </c>
      <c r="H64" s="3" t="s">
        <v>62</v>
      </c>
      <c r="I64" s="3" t="s">
        <v>63</v>
      </c>
      <c r="J64" s="3" t="s">
        <v>62</v>
      </c>
      <c r="K64" s="3" t="s">
        <v>62</v>
      </c>
      <c r="L64" s="3" t="s">
        <v>64</v>
      </c>
      <c r="M64" s="2" t="s">
        <v>897</v>
      </c>
      <c r="N64" s="2" t="s">
        <v>898</v>
      </c>
      <c r="O64" s="3" t="s">
        <v>886</v>
      </c>
      <c r="Q64" s="3" t="s">
        <v>68</v>
      </c>
      <c r="R64" s="3" t="s">
        <v>500</v>
      </c>
      <c r="T64" s="3" t="s">
        <v>70</v>
      </c>
      <c r="U64" s="4">
        <v>4</v>
      </c>
      <c r="V64" s="4">
        <v>4</v>
      </c>
      <c r="W64" s="5" t="s">
        <v>899</v>
      </c>
      <c r="X64" s="5" t="s">
        <v>899</v>
      </c>
      <c r="Y64" s="5" t="s">
        <v>900</v>
      </c>
      <c r="Z64" s="5" t="s">
        <v>900</v>
      </c>
      <c r="AA64" s="4">
        <v>248</v>
      </c>
      <c r="AB64" s="4">
        <v>230</v>
      </c>
      <c r="AC64" s="4">
        <v>329</v>
      </c>
      <c r="AD64" s="4">
        <v>2</v>
      </c>
      <c r="AE64" s="4">
        <v>4</v>
      </c>
      <c r="AF64" s="4">
        <v>5</v>
      </c>
      <c r="AG64" s="4">
        <v>11</v>
      </c>
      <c r="AH64" s="4">
        <v>4</v>
      </c>
      <c r="AI64" s="4">
        <v>5</v>
      </c>
      <c r="AJ64" s="4">
        <v>1</v>
      </c>
      <c r="AK64" s="4">
        <v>1</v>
      </c>
      <c r="AL64" s="4">
        <v>1</v>
      </c>
      <c r="AM64" s="4">
        <v>5</v>
      </c>
      <c r="AN64" s="4">
        <v>0</v>
      </c>
      <c r="AO64" s="4">
        <v>1</v>
      </c>
      <c r="AP64" s="4">
        <v>0</v>
      </c>
      <c r="AQ64" s="4">
        <v>0</v>
      </c>
      <c r="AR64" s="3" t="s">
        <v>62</v>
      </c>
      <c r="AS64" s="3" t="s">
        <v>84</v>
      </c>
      <c r="AT64" s="6" t="str">
        <f>HYPERLINK("http://catalog.hathitrust.org/Record/006134823","HathiTrust Record")</f>
        <v>HathiTrust Record</v>
      </c>
      <c r="AU64" s="6" t="str">
        <f>HYPERLINK("https://creighton-primo.hosted.exlibrisgroup.com/primo-explore/search?tab=default_tab&amp;search_scope=EVERYTHING&amp;vid=01CRU&amp;lang=en_US&amp;offset=0&amp;query=any,contains,991004331449702656","Catalog Record")</f>
        <v>Catalog Record</v>
      </c>
      <c r="AV64" s="6" t="str">
        <f>HYPERLINK("http://www.worldcat.org/oclc/3061742","WorldCat Record")</f>
        <v>WorldCat Record</v>
      </c>
      <c r="AW64" s="3" t="s">
        <v>901</v>
      </c>
      <c r="AX64" s="3" t="s">
        <v>902</v>
      </c>
      <c r="AY64" s="3" t="s">
        <v>903</v>
      </c>
      <c r="AZ64" s="3" t="s">
        <v>903</v>
      </c>
      <c r="BA64" s="3" t="s">
        <v>904</v>
      </c>
      <c r="BB64" s="3" t="s">
        <v>77</v>
      </c>
      <c r="BE64" s="3" t="s">
        <v>905</v>
      </c>
      <c r="BF64" s="3" t="s">
        <v>906</v>
      </c>
    </row>
    <row r="65" spans="1:58" ht="36.75" customHeight="1" x14ac:dyDescent="0.25">
      <c r="A65" s="7" t="s">
        <v>62</v>
      </c>
      <c r="B65" s="2" t="s">
        <v>57</v>
      </c>
      <c r="C65" s="2" t="s">
        <v>58</v>
      </c>
      <c r="D65" s="2" t="s">
        <v>907</v>
      </c>
      <c r="E65" s="2" t="s">
        <v>908</v>
      </c>
      <c r="F65" s="2" t="s">
        <v>909</v>
      </c>
      <c r="H65" s="3" t="s">
        <v>62</v>
      </c>
      <c r="I65" s="3" t="s">
        <v>63</v>
      </c>
      <c r="J65" s="3" t="s">
        <v>62</v>
      </c>
      <c r="K65" s="3" t="s">
        <v>62</v>
      </c>
      <c r="L65" s="3" t="s">
        <v>64</v>
      </c>
      <c r="M65" s="2" t="s">
        <v>910</v>
      </c>
      <c r="N65" s="2" t="s">
        <v>911</v>
      </c>
      <c r="O65" s="3" t="s">
        <v>428</v>
      </c>
      <c r="Q65" s="3" t="s">
        <v>68</v>
      </c>
      <c r="R65" s="3" t="s">
        <v>912</v>
      </c>
      <c r="T65" s="3" t="s">
        <v>70</v>
      </c>
      <c r="U65" s="4">
        <v>9</v>
      </c>
      <c r="V65" s="4">
        <v>9</v>
      </c>
      <c r="W65" s="5" t="s">
        <v>899</v>
      </c>
      <c r="X65" s="5" t="s">
        <v>899</v>
      </c>
      <c r="Y65" s="5" t="s">
        <v>457</v>
      </c>
      <c r="Z65" s="5" t="s">
        <v>457</v>
      </c>
      <c r="AA65" s="4">
        <v>610</v>
      </c>
      <c r="AB65" s="4">
        <v>559</v>
      </c>
      <c r="AC65" s="4">
        <v>678</v>
      </c>
      <c r="AD65" s="4">
        <v>4</v>
      </c>
      <c r="AE65" s="4">
        <v>4</v>
      </c>
      <c r="AF65" s="4">
        <v>27</v>
      </c>
      <c r="AG65" s="4">
        <v>32</v>
      </c>
      <c r="AH65" s="4">
        <v>11</v>
      </c>
      <c r="AI65" s="4">
        <v>14</v>
      </c>
      <c r="AJ65" s="4">
        <v>8</v>
      </c>
      <c r="AK65" s="4">
        <v>8</v>
      </c>
      <c r="AL65" s="4">
        <v>14</v>
      </c>
      <c r="AM65" s="4">
        <v>18</v>
      </c>
      <c r="AN65" s="4">
        <v>2</v>
      </c>
      <c r="AO65" s="4">
        <v>2</v>
      </c>
      <c r="AP65" s="4">
        <v>0</v>
      </c>
      <c r="AQ65" s="4">
        <v>0</v>
      </c>
      <c r="AR65" s="3" t="s">
        <v>62</v>
      </c>
      <c r="AS65" s="3" t="s">
        <v>62</v>
      </c>
      <c r="AU65" s="6" t="str">
        <f>HYPERLINK("https://creighton-primo.hosted.exlibrisgroup.com/primo-explore/search?tab=default_tab&amp;search_scope=EVERYTHING&amp;vid=01CRU&amp;lang=en_US&amp;offset=0&amp;query=any,contains,991004228579702656","Catalog Record")</f>
        <v>Catalog Record</v>
      </c>
      <c r="AV65" s="6" t="str">
        <f>HYPERLINK("http://www.worldcat.org/oclc/2738428","WorldCat Record")</f>
        <v>WorldCat Record</v>
      </c>
      <c r="AW65" s="3" t="s">
        <v>913</v>
      </c>
      <c r="AX65" s="3" t="s">
        <v>914</v>
      </c>
      <c r="AY65" s="3" t="s">
        <v>915</v>
      </c>
      <c r="AZ65" s="3" t="s">
        <v>915</v>
      </c>
      <c r="BA65" s="3" t="s">
        <v>916</v>
      </c>
      <c r="BB65" s="3" t="s">
        <v>77</v>
      </c>
      <c r="BE65" s="3" t="s">
        <v>917</v>
      </c>
      <c r="BF65" s="3" t="s">
        <v>918</v>
      </c>
    </row>
    <row r="66" spans="1:58" ht="36.75" customHeight="1" x14ac:dyDescent="0.25">
      <c r="A66" s="7" t="s">
        <v>62</v>
      </c>
      <c r="B66" s="2" t="s">
        <v>57</v>
      </c>
      <c r="C66" s="2" t="s">
        <v>58</v>
      </c>
      <c r="D66" s="2" t="s">
        <v>919</v>
      </c>
      <c r="E66" s="2" t="s">
        <v>920</v>
      </c>
      <c r="F66" s="2" t="s">
        <v>921</v>
      </c>
      <c r="H66" s="3" t="s">
        <v>62</v>
      </c>
      <c r="I66" s="3" t="s">
        <v>63</v>
      </c>
      <c r="J66" s="3" t="s">
        <v>62</v>
      </c>
      <c r="K66" s="3" t="s">
        <v>62</v>
      </c>
      <c r="L66" s="3" t="s">
        <v>64</v>
      </c>
      <c r="M66" s="2" t="s">
        <v>922</v>
      </c>
      <c r="N66" s="2" t="s">
        <v>923</v>
      </c>
      <c r="O66" s="3" t="s">
        <v>886</v>
      </c>
      <c r="Q66" s="3" t="s">
        <v>68</v>
      </c>
      <c r="R66" s="3" t="s">
        <v>277</v>
      </c>
      <c r="T66" s="3" t="s">
        <v>70</v>
      </c>
      <c r="U66" s="4">
        <v>5</v>
      </c>
      <c r="V66" s="4">
        <v>5</v>
      </c>
      <c r="W66" s="5" t="s">
        <v>924</v>
      </c>
      <c r="X66" s="5" t="s">
        <v>924</v>
      </c>
      <c r="Y66" s="5" t="s">
        <v>925</v>
      </c>
      <c r="Z66" s="5" t="s">
        <v>925</v>
      </c>
      <c r="AA66" s="4">
        <v>349</v>
      </c>
      <c r="AB66" s="4">
        <v>319</v>
      </c>
      <c r="AC66" s="4">
        <v>368</v>
      </c>
      <c r="AD66" s="4">
        <v>4</v>
      </c>
      <c r="AE66" s="4">
        <v>4</v>
      </c>
      <c r="AF66" s="4">
        <v>30</v>
      </c>
      <c r="AG66" s="4">
        <v>31</v>
      </c>
      <c r="AH66" s="4">
        <v>11</v>
      </c>
      <c r="AI66" s="4">
        <v>12</v>
      </c>
      <c r="AJ66" s="4">
        <v>6</v>
      </c>
      <c r="AK66" s="4">
        <v>6</v>
      </c>
      <c r="AL66" s="4">
        <v>22</v>
      </c>
      <c r="AM66" s="4">
        <v>23</v>
      </c>
      <c r="AN66" s="4">
        <v>1</v>
      </c>
      <c r="AO66" s="4">
        <v>1</v>
      </c>
      <c r="AP66" s="4">
        <v>0</v>
      </c>
      <c r="AQ66" s="4">
        <v>0</v>
      </c>
      <c r="AR66" s="3" t="s">
        <v>84</v>
      </c>
      <c r="AS66" s="3" t="s">
        <v>62</v>
      </c>
      <c r="AT66" s="6" t="str">
        <f>HYPERLINK("http://catalog.hathitrust.org/Record/009455676","HathiTrust Record")</f>
        <v>HathiTrust Record</v>
      </c>
      <c r="AU66" s="6" t="str">
        <f>HYPERLINK("https://creighton-primo.hosted.exlibrisgroup.com/primo-explore/search?tab=default_tab&amp;search_scope=EVERYTHING&amp;vid=01CRU&amp;lang=en_US&amp;offset=0&amp;query=any,contains,991003118159702656","Catalog Record")</f>
        <v>Catalog Record</v>
      </c>
      <c r="AV66" s="6" t="str">
        <f>HYPERLINK("http://www.worldcat.org/oclc/664179","WorldCat Record")</f>
        <v>WorldCat Record</v>
      </c>
      <c r="AW66" s="3" t="s">
        <v>926</v>
      </c>
      <c r="AX66" s="3" t="s">
        <v>927</v>
      </c>
      <c r="AY66" s="3" t="s">
        <v>928</v>
      </c>
      <c r="AZ66" s="3" t="s">
        <v>928</v>
      </c>
      <c r="BA66" s="3" t="s">
        <v>929</v>
      </c>
      <c r="BB66" s="3" t="s">
        <v>77</v>
      </c>
      <c r="BE66" s="3" t="s">
        <v>930</v>
      </c>
      <c r="BF66" s="3" t="s">
        <v>931</v>
      </c>
    </row>
    <row r="67" spans="1:58" ht="36.75" customHeight="1" x14ac:dyDescent="0.25">
      <c r="A67" s="7" t="s">
        <v>62</v>
      </c>
      <c r="B67" s="2" t="s">
        <v>57</v>
      </c>
      <c r="C67" s="2" t="s">
        <v>58</v>
      </c>
      <c r="D67" s="2" t="s">
        <v>932</v>
      </c>
      <c r="E67" s="2" t="s">
        <v>933</v>
      </c>
      <c r="F67" s="2" t="s">
        <v>934</v>
      </c>
      <c r="H67" s="3" t="s">
        <v>62</v>
      </c>
      <c r="I67" s="3" t="s">
        <v>63</v>
      </c>
      <c r="J67" s="3" t="s">
        <v>62</v>
      </c>
      <c r="K67" s="3" t="s">
        <v>62</v>
      </c>
      <c r="L67" s="3" t="s">
        <v>64</v>
      </c>
      <c r="M67" s="2" t="s">
        <v>935</v>
      </c>
      <c r="N67" s="2" t="s">
        <v>936</v>
      </c>
      <c r="O67" s="3" t="s">
        <v>498</v>
      </c>
      <c r="Q67" s="3" t="s">
        <v>68</v>
      </c>
      <c r="R67" s="3" t="s">
        <v>372</v>
      </c>
      <c r="T67" s="3" t="s">
        <v>70</v>
      </c>
      <c r="U67" s="4">
        <v>7</v>
      </c>
      <c r="V67" s="4">
        <v>7</v>
      </c>
      <c r="W67" s="5" t="s">
        <v>873</v>
      </c>
      <c r="X67" s="5" t="s">
        <v>873</v>
      </c>
      <c r="Y67" s="5" t="s">
        <v>900</v>
      </c>
      <c r="Z67" s="5" t="s">
        <v>900</v>
      </c>
      <c r="AA67" s="4">
        <v>126</v>
      </c>
      <c r="AB67" s="4">
        <v>104</v>
      </c>
      <c r="AC67" s="4">
        <v>774</v>
      </c>
      <c r="AD67" s="4">
        <v>1</v>
      </c>
      <c r="AE67" s="4">
        <v>7</v>
      </c>
      <c r="AF67" s="4">
        <v>9</v>
      </c>
      <c r="AG67" s="4">
        <v>44</v>
      </c>
      <c r="AH67" s="4">
        <v>4</v>
      </c>
      <c r="AI67" s="4">
        <v>19</v>
      </c>
      <c r="AJ67" s="4">
        <v>4</v>
      </c>
      <c r="AK67" s="4">
        <v>9</v>
      </c>
      <c r="AL67" s="4">
        <v>5</v>
      </c>
      <c r="AM67" s="4">
        <v>21</v>
      </c>
      <c r="AN67" s="4">
        <v>0</v>
      </c>
      <c r="AO67" s="4">
        <v>5</v>
      </c>
      <c r="AP67" s="4">
        <v>0</v>
      </c>
      <c r="AQ67" s="4">
        <v>0</v>
      </c>
      <c r="AR67" s="3" t="s">
        <v>62</v>
      </c>
      <c r="AS67" s="3" t="s">
        <v>84</v>
      </c>
      <c r="AT67" s="6" t="str">
        <f>HYPERLINK("http://catalog.hathitrust.org/Record/102597293","HathiTrust Record")</f>
        <v>HathiTrust Record</v>
      </c>
      <c r="AU67" s="6" t="str">
        <f>HYPERLINK("https://creighton-primo.hosted.exlibrisgroup.com/primo-explore/search?tab=default_tab&amp;search_scope=EVERYTHING&amp;vid=01CRU&amp;lang=en_US&amp;offset=0&amp;query=any,contains,991003718759702656","Catalog Record")</f>
        <v>Catalog Record</v>
      </c>
      <c r="AV67" s="6" t="str">
        <f>HYPERLINK("http://www.worldcat.org/oclc/1364689","WorldCat Record")</f>
        <v>WorldCat Record</v>
      </c>
      <c r="AW67" s="3" t="s">
        <v>937</v>
      </c>
      <c r="AX67" s="3" t="s">
        <v>938</v>
      </c>
      <c r="AY67" s="3" t="s">
        <v>939</v>
      </c>
      <c r="AZ67" s="3" t="s">
        <v>939</v>
      </c>
      <c r="BA67" s="3" t="s">
        <v>940</v>
      </c>
      <c r="BB67" s="3" t="s">
        <v>77</v>
      </c>
      <c r="BD67" s="3" t="s">
        <v>941</v>
      </c>
      <c r="BE67" s="3" t="s">
        <v>942</v>
      </c>
      <c r="BF67" s="3" t="s">
        <v>943</v>
      </c>
    </row>
    <row r="68" spans="1:58" ht="36.75" customHeight="1" x14ac:dyDescent="0.25">
      <c r="A68" s="7" t="s">
        <v>62</v>
      </c>
      <c r="B68" s="2" t="s">
        <v>57</v>
      </c>
      <c r="C68" s="2" t="s">
        <v>58</v>
      </c>
      <c r="D68" s="2" t="s">
        <v>944</v>
      </c>
      <c r="E68" s="2" t="s">
        <v>945</v>
      </c>
      <c r="F68" s="2" t="s">
        <v>946</v>
      </c>
      <c r="H68" s="3" t="s">
        <v>62</v>
      </c>
      <c r="I68" s="3" t="s">
        <v>63</v>
      </c>
      <c r="J68" s="3" t="s">
        <v>62</v>
      </c>
      <c r="K68" s="3" t="s">
        <v>62</v>
      </c>
      <c r="L68" s="3" t="s">
        <v>64</v>
      </c>
      <c r="M68" s="2" t="s">
        <v>947</v>
      </c>
      <c r="N68" s="2" t="s">
        <v>948</v>
      </c>
      <c r="O68" s="3" t="s">
        <v>886</v>
      </c>
      <c r="Q68" s="3" t="s">
        <v>68</v>
      </c>
      <c r="R68" s="3" t="s">
        <v>87</v>
      </c>
      <c r="T68" s="3" t="s">
        <v>70</v>
      </c>
      <c r="U68" s="4">
        <v>4</v>
      </c>
      <c r="V68" s="4">
        <v>4</v>
      </c>
      <c r="W68" s="5" t="s">
        <v>899</v>
      </c>
      <c r="X68" s="5" t="s">
        <v>899</v>
      </c>
      <c r="Y68" s="5" t="s">
        <v>457</v>
      </c>
      <c r="Z68" s="5" t="s">
        <v>457</v>
      </c>
      <c r="AA68" s="4">
        <v>497</v>
      </c>
      <c r="AB68" s="4">
        <v>439</v>
      </c>
      <c r="AC68" s="4">
        <v>445</v>
      </c>
      <c r="AD68" s="4">
        <v>4</v>
      </c>
      <c r="AE68" s="4">
        <v>4</v>
      </c>
      <c r="AF68" s="4">
        <v>32</v>
      </c>
      <c r="AG68" s="4">
        <v>32</v>
      </c>
      <c r="AH68" s="4">
        <v>13</v>
      </c>
      <c r="AI68" s="4">
        <v>13</v>
      </c>
      <c r="AJ68" s="4">
        <v>9</v>
      </c>
      <c r="AK68" s="4">
        <v>9</v>
      </c>
      <c r="AL68" s="4">
        <v>21</v>
      </c>
      <c r="AM68" s="4">
        <v>21</v>
      </c>
      <c r="AN68" s="4">
        <v>1</v>
      </c>
      <c r="AO68" s="4">
        <v>1</v>
      </c>
      <c r="AP68" s="4">
        <v>0</v>
      </c>
      <c r="AQ68" s="4">
        <v>0</v>
      </c>
      <c r="AR68" s="3" t="s">
        <v>62</v>
      </c>
      <c r="AS68" s="3" t="s">
        <v>62</v>
      </c>
      <c r="AU68" s="6" t="str">
        <f>HYPERLINK("https://creighton-primo.hosted.exlibrisgroup.com/primo-explore/search?tab=default_tab&amp;search_scope=EVERYTHING&amp;vid=01CRU&amp;lang=en_US&amp;offset=0&amp;query=any,contains,991003547229702656","Catalog Record")</f>
        <v>Catalog Record</v>
      </c>
      <c r="AV68" s="6" t="str">
        <f>HYPERLINK("http://www.worldcat.org/oclc/1113998","WorldCat Record")</f>
        <v>WorldCat Record</v>
      </c>
      <c r="AW68" s="3" t="s">
        <v>949</v>
      </c>
      <c r="AX68" s="3" t="s">
        <v>950</v>
      </c>
      <c r="AY68" s="3" t="s">
        <v>951</v>
      </c>
      <c r="AZ68" s="3" t="s">
        <v>951</v>
      </c>
      <c r="BA68" s="3" t="s">
        <v>952</v>
      </c>
      <c r="BB68" s="3" t="s">
        <v>77</v>
      </c>
      <c r="BE68" s="3" t="s">
        <v>953</v>
      </c>
      <c r="BF68" s="3" t="s">
        <v>954</v>
      </c>
    </row>
    <row r="69" spans="1:58" ht="36.75" customHeight="1" x14ac:dyDescent="0.25">
      <c r="A69" s="7" t="s">
        <v>62</v>
      </c>
      <c r="B69" s="2" t="s">
        <v>57</v>
      </c>
      <c r="C69" s="2" t="s">
        <v>58</v>
      </c>
      <c r="D69" s="2" t="s">
        <v>955</v>
      </c>
      <c r="E69" s="2" t="s">
        <v>956</v>
      </c>
      <c r="F69" s="2" t="s">
        <v>957</v>
      </c>
      <c r="H69" s="3" t="s">
        <v>62</v>
      </c>
      <c r="I69" s="3" t="s">
        <v>63</v>
      </c>
      <c r="J69" s="3" t="s">
        <v>62</v>
      </c>
      <c r="K69" s="3" t="s">
        <v>62</v>
      </c>
      <c r="L69" s="3" t="s">
        <v>64</v>
      </c>
      <c r="M69" s="2" t="s">
        <v>958</v>
      </c>
      <c r="N69" s="2" t="s">
        <v>959</v>
      </c>
      <c r="O69" s="3" t="s">
        <v>67</v>
      </c>
      <c r="Q69" s="3" t="s">
        <v>68</v>
      </c>
      <c r="R69" s="3" t="s">
        <v>912</v>
      </c>
      <c r="S69" s="2" t="s">
        <v>960</v>
      </c>
      <c r="T69" s="3" t="s">
        <v>70</v>
      </c>
      <c r="U69" s="4">
        <v>4</v>
      </c>
      <c r="V69" s="4">
        <v>4</v>
      </c>
      <c r="W69" s="5" t="s">
        <v>961</v>
      </c>
      <c r="X69" s="5" t="s">
        <v>961</v>
      </c>
      <c r="Y69" s="5" t="s">
        <v>457</v>
      </c>
      <c r="Z69" s="5" t="s">
        <v>457</v>
      </c>
      <c r="AA69" s="4">
        <v>105</v>
      </c>
      <c r="AB69" s="4">
        <v>98</v>
      </c>
      <c r="AC69" s="4">
        <v>323</v>
      </c>
      <c r="AD69" s="4">
        <v>1</v>
      </c>
      <c r="AE69" s="4">
        <v>3</v>
      </c>
      <c r="AF69" s="4">
        <v>1</v>
      </c>
      <c r="AG69" s="4">
        <v>18</v>
      </c>
      <c r="AH69" s="4">
        <v>1</v>
      </c>
      <c r="AI69" s="4">
        <v>6</v>
      </c>
      <c r="AJ69" s="4">
        <v>0</v>
      </c>
      <c r="AK69" s="4">
        <v>4</v>
      </c>
      <c r="AL69" s="4">
        <v>0</v>
      </c>
      <c r="AM69" s="4">
        <v>9</v>
      </c>
      <c r="AN69" s="4">
        <v>0</v>
      </c>
      <c r="AO69" s="4">
        <v>2</v>
      </c>
      <c r="AP69" s="4">
        <v>0</v>
      </c>
      <c r="AQ69" s="4">
        <v>0</v>
      </c>
      <c r="AR69" s="3" t="s">
        <v>62</v>
      </c>
      <c r="AS69" s="3" t="s">
        <v>62</v>
      </c>
      <c r="AU69" s="6" t="str">
        <f>HYPERLINK("https://creighton-primo.hosted.exlibrisgroup.com/primo-explore/search?tab=default_tab&amp;search_scope=EVERYTHING&amp;vid=01CRU&amp;lang=en_US&amp;offset=0&amp;query=any,contains,991004172439702656","Catalog Record")</f>
        <v>Catalog Record</v>
      </c>
      <c r="AV69" s="6" t="str">
        <f>HYPERLINK("http://www.worldcat.org/oclc/2585743","WorldCat Record")</f>
        <v>WorldCat Record</v>
      </c>
      <c r="AW69" s="3" t="s">
        <v>962</v>
      </c>
      <c r="AX69" s="3" t="s">
        <v>963</v>
      </c>
      <c r="AY69" s="3" t="s">
        <v>964</v>
      </c>
      <c r="AZ69" s="3" t="s">
        <v>964</v>
      </c>
      <c r="BA69" s="3" t="s">
        <v>965</v>
      </c>
      <c r="BB69" s="3" t="s">
        <v>77</v>
      </c>
      <c r="BE69" s="3" t="s">
        <v>966</v>
      </c>
      <c r="BF69" s="3" t="s">
        <v>967</v>
      </c>
    </row>
    <row r="70" spans="1:58" ht="36.75" customHeight="1" x14ac:dyDescent="0.25">
      <c r="A70" s="7" t="s">
        <v>62</v>
      </c>
      <c r="B70" s="2" t="s">
        <v>57</v>
      </c>
      <c r="C70" s="2" t="s">
        <v>58</v>
      </c>
      <c r="D70" s="2" t="s">
        <v>968</v>
      </c>
      <c r="E70" s="2" t="s">
        <v>969</v>
      </c>
      <c r="F70" s="2" t="s">
        <v>970</v>
      </c>
      <c r="H70" s="3" t="s">
        <v>62</v>
      </c>
      <c r="I70" s="3" t="s">
        <v>63</v>
      </c>
      <c r="J70" s="3" t="s">
        <v>62</v>
      </c>
      <c r="K70" s="3" t="s">
        <v>62</v>
      </c>
      <c r="L70" s="3" t="s">
        <v>64</v>
      </c>
      <c r="M70" s="2" t="s">
        <v>971</v>
      </c>
      <c r="N70" s="2" t="s">
        <v>972</v>
      </c>
      <c r="O70" s="3" t="s">
        <v>698</v>
      </c>
      <c r="Q70" s="3" t="s">
        <v>68</v>
      </c>
      <c r="R70" s="3" t="s">
        <v>69</v>
      </c>
      <c r="T70" s="3" t="s">
        <v>70</v>
      </c>
      <c r="U70" s="4">
        <v>6</v>
      </c>
      <c r="V70" s="4">
        <v>6</v>
      </c>
      <c r="W70" s="5" t="s">
        <v>973</v>
      </c>
      <c r="X70" s="5" t="s">
        <v>973</v>
      </c>
      <c r="Y70" s="5" t="s">
        <v>457</v>
      </c>
      <c r="Z70" s="5" t="s">
        <v>457</v>
      </c>
      <c r="AA70" s="4">
        <v>668</v>
      </c>
      <c r="AB70" s="4">
        <v>616</v>
      </c>
      <c r="AC70" s="4">
        <v>846</v>
      </c>
      <c r="AD70" s="4">
        <v>3</v>
      </c>
      <c r="AE70" s="4">
        <v>4</v>
      </c>
      <c r="AF70" s="4">
        <v>19</v>
      </c>
      <c r="AG70" s="4">
        <v>28</v>
      </c>
      <c r="AH70" s="4">
        <v>11</v>
      </c>
      <c r="AI70" s="4">
        <v>15</v>
      </c>
      <c r="AJ70" s="4">
        <v>3</v>
      </c>
      <c r="AK70" s="4">
        <v>6</v>
      </c>
      <c r="AL70" s="4">
        <v>7</v>
      </c>
      <c r="AM70" s="4">
        <v>12</v>
      </c>
      <c r="AN70" s="4">
        <v>1</v>
      </c>
      <c r="AO70" s="4">
        <v>1</v>
      </c>
      <c r="AP70" s="4">
        <v>0</v>
      </c>
      <c r="AQ70" s="4">
        <v>0</v>
      </c>
      <c r="AR70" s="3" t="s">
        <v>62</v>
      </c>
      <c r="AS70" s="3" t="s">
        <v>84</v>
      </c>
      <c r="AT70" s="6" t="str">
        <f>HYPERLINK("http://catalog.hathitrust.org/Record/001402044","HathiTrust Record")</f>
        <v>HathiTrust Record</v>
      </c>
      <c r="AU70" s="6" t="str">
        <f>HYPERLINK("https://creighton-primo.hosted.exlibrisgroup.com/primo-explore/search?tab=default_tab&amp;search_scope=EVERYTHING&amp;vid=01CRU&amp;lang=en_US&amp;offset=0&amp;query=any,contains,991003195659702656","Catalog Record")</f>
        <v>Catalog Record</v>
      </c>
      <c r="AV70" s="6" t="str">
        <f>HYPERLINK("http://www.worldcat.org/oclc/720948","WorldCat Record")</f>
        <v>WorldCat Record</v>
      </c>
      <c r="AW70" s="3" t="s">
        <v>974</v>
      </c>
      <c r="AX70" s="3" t="s">
        <v>975</v>
      </c>
      <c r="AY70" s="3" t="s">
        <v>976</v>
      </c>
      <c r="AZ70" s="3" t="s">
        <v>976</v>
      </c>
      <c r="BA70" s="3" t="s">
        <v>977</v>
      </c>
      <c r="BB70" s="3" t="s">
        <v>77</v>
      </c>
      <c r="BE70" s="3" t="s">
        <v>978</v>
      </c>
      <c r="BF70" s="3" t="s">
        <v>979</v>
      </c>
    </row>
    <row r="71" spans="1:58" ht="36.75" customHeight="1" x14ac:dyDescent="0.25">
      <c r="A71" s="7" t="s">
        <v>62</v>
      </c>
      <c r="B71" s="2" t="s">
        <v>57</v>
      </c>
      <c r="C71" s="2" t="s">
        <v>58</v>
      </c>
      <c r="D71" s="2" t="s">
        <v>980</v>
      </c>
      <c r="E71" s="2" t="s">
        <v>981</v>
      </c>
      <c r="F71" s="2" t="s">
        <v>982</v>
      </c>
      <c r="H71" s="3" t="s">
        <v>62</v>
      </c>
      <c r="I71" s="3" t="s">
        <v>63</v>
      </c>
      <c r="J71" s="3" t="s">
        <v>62</v>
      </c>
      <c r="K71" s="3" t="s">
        <v>62</v>
      </c>
      <c r="L71" s="3" t="s">
        <v>64</v>
      </c>
      <c r="M71" s="2" t="s">
        <v>983</v>
      </c>
      <c r="N71" s="2" t="s">
        <v>984</v>
      </c>
      <c r="O71" s="3" t="s">
        <v>262</v>
      </c>
      <c r="P71" s="2" t="s">
        <v>985</v>
      </c>
      <c r="Q71" s="3" t="s">
        <v>68</v>
      </c>
      <c r="R71" s="3" t="s">
        <v>500</v>
      </c>
      <c r="T71" s="3" t="s">
        <v>70</v>
      </c>
      <c r="U71" s="4">
        <v>8</v>
      </c>
      <c r="V71" s="4">
        <v>8</v>
      </c>
      <c r="W71" s="5" t="s">
        <v>986</v>
      </c>
      <c r="X71" s="5" t="s">
        <v>986</v>
      </c>
      <c r="Y71" s="5" t="s">
        <v>457</v>
      </c>
      <c r="Z71" s="5" t="s">
        <v>457</v>
      </c>
      <c r="AA71" s="4">
        <v>262</v>
      </c>
      <c r="AB71" s="4">
        <v>240</v>
      </c>
      <c r="AC71" s="4">
        <v>640</v>
      </c>
      <c r="AD71" s="4">
        <v>3</v>
      </c>
      <c r="AE71" s="4">
        <v>6</v>
      </c>
      <c r="AF71" s="4">
        <v>9</v>
      </c>
      <c r="AG71" s="4">
        <v>25</v>
      </c>
      <c r="AH71" s="4">
        <v>3</v>
      </c>
      <c r="AI71" s="4">
        <v>8</v>
      </c>
      <c r="AJ71" s="4">
        <v>2</v>
      </c>
      <c r="AK71" s="4">
        <v>6</v>
      </c>
      <c r="AL71" s="4">
        <v>4</v>
      </c>
      <c r="AM71" s="4">
        <v>13</v>
      </c>
      <c r="AN71" s="4">
        <v>1</v>
      </c>
      <c r="AO71" s="4">
        <v>3</v>
      </c>
      <c r="AP71" s="4">
        <v>0</v>
      </c>
      <c r="AQ71" s="4">
        <v>0</v>
      </c>
      <c r="AR71" s="3" t="s">
        <v>62</v>
      </c>
      <c r="AS71" s="3" t="s">
        <v>62</v>
      </c>
      <c r="AU71" s="6" t="str">
        <f>HYPERLINK("https://creighton-primo.hosted.exlibrisgroup.com/primo-explore/search?tab=default_tab&amp;search_scope=EVERYTHING&amp;vid=01CRU&amp;lang=en_US&amp;offset=0&amp;query=any,contains,991004794869702656","Catalog Record")</f>
        <v>Catalog Record</v>
      </c>
      <c r="AV71" s="6" t="str">
        <f>HYPERLINK("http://www.worldcat.org/oclc/5180254","WorldCat Record")</f>
        <v>WorldCat Record</v>
      </c>
      <c r="AW71" s="3" t="s">
        <v>987</v>
      </c>
      <c r="AX71" s="3" t="s">
        <v>988</v>
      </c>
      <c r="AY71" s="3" t="s">
        <v>989</v>
      </c>
      <c r="AZ71" s="3" t="s">
        <v>989</v>
      </c>
      <c r="BA71" s="3" t="s">
        <v>990</v>
      </c>
      <c r="BB71" s="3" t="s">
        <v>77</v>
      </c>
      <c r="BE71" s="3" t="s">
        <v>991</v>
      </c>
      <c r="BF71" s="3" t="s">
        <v>992</v>
      </c>
    </row>
    <row r="72" spans="1:58" ht="36.75" customHeight="1" x14ac:dyDescent="0.25">
      <c r="A72" s="7" t="s">
        <v>62</v>
      </c>
      <c r="B72" s="2" t="s">
        <v>57</v>
      </c>
      <c r="C72" s="2" t="s">
        <v>58</v>
      </c>
      <c r="D72" s="2" t="s">
        <v>993</v>
      </c>
      <c r="E72" s="2" t="s">
        <v>994</v>
      </c>
      <c r="F72" s="2" t="s">
        <v>995</v>
      </c>
      <c r="H72" s="3" t="s">
        <v>62</v>
      </c>
      <c r="I72" s="3" t="s">
        <v>63</v>
      </c>
      <c r="J72" s="3" t="s">
        <v>62</v>
      </c>
      <c r="K72" s="3" t="s">
        <v>62</v>
      </c>
      <c r="L72" s="3" t="s">
        <v>64</v>
      </c>
      <c r="M72" s="2" t="s">
        <v>996</v>
      </c>
      <c r="N72" s="2" t="s">
        <v>997</v>
      </c>
      <c r="O72" s="3" t="s">
        <v>712</v>
      </c>
      <c r="Q72" s="3" t="s">
        <v>68</v>
      </c>
      <c r="R72" s="3" t="s">
        <v>587</v>
      </c>
      <c r="S72" s="2" t="s">
        <v>998</v>
      </c>
      <c r="T72" s="3" t="s">
        <v>70</v>
      </c>
      <c r="U72" s="4">
        <v>3</v>
      </c>
      <c r="V72" s="4">
        <v>3</v>
      </c>
      <c r="W72" s="5" t="s">
        <v>999</v>
      </c>
      <c r="X72" s="5" t="s">
        <v>999</v>
      </c>
      <c r="Y72" s="5" t="s">
        <v>1000</v>
      </c>
      <c r="Z72" s="5" t="s">
        <v>1000</v>
      </c>
      <c r="AA72" s="4">
        <v>312</v>
      </c>
      <c r="AB72" s="4">
        <v>227</v>
      </c>
      <c r="AC72" s="4">
        <v>246</v>
      </c>
      <c r="AD72" s="4">
        <v>2</v>
      </c>
      <c r="AE72" s="4">
        <v>3</v>
      </c>
      <c r="AF72" s="4">
        <v>13</v>
      </c>
      <c r="AG72" s="4">
        <v>15</v>
      </c>
      <c r="AH72" s="4">
        <v>3</v>
      </c>
      <c r="AI72" s="4">
        <v>4</v>
      </c>
      <c r="AJ72" s="4">
        <v>4</v>
      </c>
      <c r="AK72" s="4">
        <v>5</v>
      </c>
      <c r="AL72" s="4">
        <v>7</v>
      </c>
      <c r="AM72" s="4">
        <v>7</v>
      </c>
      <c r="AN72" s="4">
        <v>1</v>
      </c>
      <c r="AO72" s="4">
        <v>2</v>
      </c>
      <c r="AP72" s="4">
        <v>0</v>
      </c>
      <c r="AQ72" s="4">
        <v>0</v>
      </c>
      <c r="AR72" s="3" t="s">
        <v>62</v>
      </c>
      <c r="AS72" s="3" t="s">
        <v>84</v>
      </c>
      <c r="AT72" s="6" t="str">
        <f>HYPERLINK("http://catalog.hathitrust.org/Record/000397005","HathiTrust Record")</f>
        <v>HathiTrust Record</v>
      </c>
      <c r="AU72" s="6" t="str">
        <f>HYPERLINK("https://creighton-primo.hosted.exlibrisgroup.com/primo-explore/search?tab=default_tab&amp;search_scope=EVERYTHING&amp;vid=01CRU&amp;lang=en_US&amp;offset=0&amp;query=any,contains,991000678799702656","Catalog Record")</f>
        <v>Catalog Record</v>
      </c>
      <c r="AV72" s="6" t="str">
        <f>HYPERLINK("http://www.worldcat.org/oclc/12371306","WorldCat Record")</f>
        <v>WorldCat Record</v>
      </c>
      <c r="AW72" s="3" t="s">
        <v>1001</v>
      </c>
      <c r="AX72" s="3" t="s">
        <v>1002</v>
      </c>
      <c r="AY72" s="3" t="s">
        <v>1003</v>
      </c>
      <c r="AZ72" s="3" t="s">
        <v>1003</v>
      </c>
      <c r="BA72" s="3" t="s">
        <v>1004</v>
      </c>
      <c r="BB72" s="3" t="s">
        <v>77</v>
      </c>
      <c r="BD72" s="3" t="s">
        <v>1005</v>
      </c>
      <c r="BE72" s="3" t="s">
        <v>1006</v>
      </c>
      <c r="BF72" s="3" t="s">
        <v>1007</v>
      </c>
    </row>
    <row r="73" spans="1:58" ht="36.75" customHeight="1" x14ac:dyDescent="0.25">
      <c r="A73" s="7" t="s">
        <v>62</v>
      </c>
      <c r="B73" s="2" t="s">
        <v>57</v>
      </c>
      <c r="C73" s="2" t="s">
        <v>58</v>
      </c>
      <c r="D73" s="2" t="s">
        <v>1008</v>
      </c>
      <c r="E73" s="2" t="s">
        <v>1009</v>
      </c>
      <c r="F73" s="2" t="s">
        <v>1010</v>
      </c>
      <c r="H73" s="3" t="s">
        <v>62</v>
      </c>
      <c r="I73" s="3" t="s">
        <v>63</v>
      </c>
      <c r="J73" s="3" t="s">
        <v>62</v>
      </c>
      <c r="K73" s="3" t="s">
        <v>62</v>
      </c>
      <c r="L73" s="3" t="s">
        <v>64</v>
      </c>
      <c r="N73" s="2" t="s">
        <v>1011</v>
      </c>
      <c r="O73" s="3" t="s">
        <v>1012</v>
      </c>
      <c r="Q73" s="3" t="s">
        <v>68</v>
      </c>
      <c r="R73" s="3" t="s">
        <v>359</v>
      </c>
      <c r="S73" s="2" t="s">
        <v>1013</v>
      </c>
      <c r="T73" s="3" t="s">
        <v>70</v>
      </c>
      <c r="U73" s="4">
        <v>4</v>
      </c>
      <c r="V73" s="4">
        <v>4</v>
      </c>
      <c r="W73" s="5" t="s">
        <v>1014</v>
      </c>
      <c r="X73" s="5" t="s">
        <v>1014</v>
      </c>
      <c r="Y73" s="5" t="s">
        <v>1015</v>
      </c>
      <c r="Z73" s="5" t="s">
        <v>1015</v>
      </c>
      <c r="AA73" s="4">
        <v>141</v>
      </c>
      <c r="AB73" s="4">
        <v>91</v>
      </c>
      <c r="AC73" s="4">
        <v>139</v>
      </c>
      <c r="AD73" s="4">
        <v>1</v>
      </c>
      <c r="AE73" s="4">
        <v>1</v>
      </c>
      <c r="AF73" s="4">
        <v>3</v>
      </c>
      <c r="AG73" s="4">
        <v>7</v>
      </c>
      <c r="AH73" s="4">
        <v>1</v>
      </c>
      <c r="AI73" s="4">
        <v>1</v>
      </c>
      <c r="AJ73" s="4">
        <v>0</v>
      </c>
      <c r="AK73" s="4">
        <v>2</v>
      </c>
      <c r="AL73" s="4">
        <v>2</v>
      </c>
      <c r="AM73" s="4">
        <v>5</v>
      </c>
      <c r="AN73" s="4">
        <v>0</v>
      </c>
      <c r="AO73" s="4">
        <v>0</v>
      </c>
      <c r="AP73" s="4">
        <v>0</v>
      </c>
      <c r="AQ73" s="4">
        <v>0</v>
      </c>
      <c r="AR73" s="3" t="s">
        <v>62</v>
      </c>
      <c r="AS73" s="3" t="s">
        <v>84</v>
      </c>
      <c r="AT73" s="6" t="str">
        <f>HYPERLINK("http://catalog.hathitrust.org/Record/001821589","HathiTrust Record")</f>
        <v>HathiTrust Record</v>
      </c>
      <c r="AU73" s="6" t="str">
        <f>HYPERLINK("https://creighton-primo.hosted.exlibrisgroup.com/primo-explore/search?tab=default_tab&amp;search_scope=EVERYTHING&amp;vid=01CRU&amp;lang=en_US&amp;offset=0&amp;query=any,contains,991001656639702656","Catalog Record")</f>
        <v>Catalog Record</v>
      </c>
      <c r="AV73" s="6" t="str">
        <f>HYPERLINK("http://www.worldcat.org/oclc/21146172","WorldCat Record")</f>
        <v>WorldCat Record</v>
      </c>
      <c r="AW73" s="3" t="s">
        <v>1016</v>
      </c>
      <c r="AX73" s="3" t="s">
        <v>1017</v>
      </c>
      <c r="AY73" s="3" t="s">
        <v>1018</v>
      </c>
      <c r="AZ73" s="3" t="s">
        <v>1018</v>
      </c>
      <c r="BA73" s="3" t="s">
        <v>1019</v>
      </c>
      <c r="BB73" s="3" t="s">
        <v>77</v>
      </c>
      <c r="BD73" s="3" t="s">
        <v>1020</v>
      </c>
      <c r="BE73" s="3" t="s">
        <v>1021</v>
      </c>
      <c r="BF73" s="3" t="s">
        <v>1022</v>
      </c>
    </row>
    <row r="74" spans="1:58" ht="36.75" customHeight="1" x14ac:dyDescent="0.25">
      <c r="A74" s="7" t="s">
        <v>62</v>
      </c>
      <c r="B74" s="2" t="s">
        <v>57</v>
      </c>
      <c r="C74" s="2" t="s">
        <v>58</v>
      </c>
      <c r="D74" s="2" t="s">
        <v>1023</v>
      </c>
      <c r="E74" s="2" t="s">
        <v>1024</v>
      </c>
      <c r="F74" s="2" t="s">
        <v>1025</v>
      </c>
      <c r="H74" s="3" t="s">
        <v>62</v>
      </c>
      <c r="I74" s="3" t="s">
        <v>63</v>
      </c>
      <c r="J74" s="3" t="s">
        <v>62</v>
      </c>
      <c r="K74" s="3" t="s">
        <v>62</v>
      </c>
      <c r="L74" s="3" t="s">
        <v>64</v>
      </c>
      <c r="M74" s="2" t="s">
        <v>1026</v>
      </c>
      <c r="N74" s="2" t="s">
        <v>1027</v>
      </c>
      <c r="O74" s="3" t="s">
        <v>1028</v>
      </c>
      <c r="Q74" s="3" t="s">
        <v>68</v>
      </c>
      <c r="R74" s="3" t="s">
        <v>573</v>
      </c>
      <c r="S74" s="2" t="s">
        <v>1029</v>
      </c>
      <c r="T74" s="3" t="s">
        <v>70</v>
      </c>
      <c r="U74" s="4">
        <v>3</v>
      </c>
      <c r="V74" s="4">
        <v>3</v>
      </c>
      <c r="W74" s="5" t="s">
        <v>1030</v>
      </c>
      <c r="X74" s="5" t="s">
        <v>1030</v>
      </c>
      <c r="Y74" s="5" t="s">
        <v>1000</v>
      </c>
      <c r="Z74" s="5" t="s">
        <v>1000</v>
      </c>
      <c r="AA74" s="4">
        <v>380</v>
      </c>
      <c r="AB74" s="4">
        <v>275</v>
      </c>
      <c r="AC74" s="4">
        <v>282</v>
      </c>
      <c r="AD74" s="4">
        <v>2</v>
      </c>
      <c r="AE74" s="4">
        <v>3</v>
      </c>
      <c r="AF74" s="4">
        <v>18</v>
      </c>
      <c r="AG74" s="4">
        <v>19</v>
      </c>
      <c r="AH74" s="4">
        <v>6</v>
      </c>
      <c r="AI74" s="4">
        <v>6</v>
      </c>
      <c r="AJ74" s="4">
        <v>4</v>
      </c>
      <c r="AK74" s="4">
        <v>4</v>
      </c>
      <c r="AL74" s="4">
        <v>11</v>
      </c>
      <c r="AM74" s="4">
        <v>11</v>
      </c>
      <c r="AN74" s="4">
        <v>1</v>
      </c>
      <c r="AO74" s="4">
        <v>2</v>
      </c>
      <c r="AP74" s="4">
        <v>0</v>
      </c>
      <c r="AQ74" s="4">
        <v>0</v>
      </c>
      <c r="AR74" s="3" t="s">
        <v>62</v>
      </c>
      <c r="AS74" s="3" t="s">
        <v>84</v>
      </c>
      <c r="AT74" s="6" t="str">
        <f>HYPERLINK("http://catalog.hathitrust.org/Record/000261999","HathiTrust Record")</f>
        <v>HathiTrust Record</v>
      </c>
      <c r="AU74" s="6" t="str">
        <f>HYPERLINK("https://creighton-primo.hosted.exlibrisgroup.com/primo-explore/search?tab=default_tab&amp;search_scope=EVERYTHING&amp;vid=01CRU&amp;lang=en_US&amp;offset=0&amp;query=any,contains,991004925219702656","Catalog Record")</f>
        <v>Catalog Record</v>
      </c>
      <c r="AV74" s="6" t="str">
        <f>HYPERLINK("http://www.worldcat.org/oclc/6085511","WorldCat Record")</f>
        <v>WorldCat Record</v>
      </c>
      <c r="AW74" s="3" t="s">
        <v>1031</v>
      </c>
      <c r="AX74" s="3" t="s">
        <v>1032</v>
      </c>
      <c r="AY74" s="3" t="s">
        <v>1033</v>
      </c>
      <c r="AZ74" s="3" t="s">
        <v>1033</v>
      </c>
      <c r="BA74" s="3" t="s">
        <v>1034</v>
      </c>
      <c r="BB74" s="3" t="s">
        <v>77</v>
      </c>
      <c r="BD74" s="3" t="s">
        <v>1035</v>
      </c>
      <c r="BE74" s="3" t="s">
        <v>1036</v>
      </c>
      <c r="BF74" s="3" t="s">
        <v>1037</v>
      </c>
    </row>
    <row r="75" spans="1:58" ht="36.75" customHeight="1" x14ac:dyDescent="0.25">
      <c r="A75" s="7" t="s">
        <v>62</v>
      </c>
      <c r="B75" s="2" t="s">
        <v>57</v>
      </c>
      <c r="C75" s="2" t="s">
        <v>58</v>
      </c>
      <c r="D75" s="2" t="s">
        <v>1038</v>
      </c>
      <c r="E75" s="2" t="s">
        <v>1039</v>
      </c>
      <c r="F75" s="2" t="s">
        <v>1040</v>
      </c>
      <c r="H75" s="3" t="s">
        <v>62</v>
      </c>
      <c r="I75" s="3" t="s">
        <v>63</v>
      </c>
      <c r="J75" s="3" t="s">
        <v>62</v>
      </c>
      <c r="K75" s="3" t="s">
        <v>62</v>
      </c>
      <c r="L75" s="3" t="s">
        <v>64</v>
      </c>
      <c r="M75" s="2" t="s">
        <v>1041</v>
      </c>
      <c r="N75" s="2" t="s">
        <v>1042</v>
      </c>
      <c r="O75" s="3" t="s">
        <v>86</v>
      </c>
      <c r="Q75" s="3" t="s">
        <v>68</v>
      </c>
      <c r="R75" s="3" t="s">
        <v>87</v>
      </c>
      <c r="T75" s="3" t="s">
        <v>70</v>
      </c>
      <c r="U75" s="4">
        <v>1</v>
      </c>
      <c r="V75" s="4">
        <v>1</v>
      </c>
      <c r="W75" s="5" t="s">
        <v>1043</v>
      </c>
      <c r="X75" s="5" t="s">
        <v>1043</v>
      </c>
      <c r="Y75" s="5" t="s">
        <v>1000</v>
      </c>
      <c r="Z75" s="5" t="s">
        <v>1000</v>
      </c>
      <c r="AA75" s="4">
        <v>205</v>
      </c>
      <c r="AB75" s="4">
        <v>145</v>
      </c>
      <c r="AC75" s="4">
        <v>148</v>
      </c>
      <c r="AD75" s="4">
        <v>1</v>
      </c>
      <c r="AE75" s="4">
        <v>1</v>
      </c>
      <c r="AF75" s="4">
        <v>7</v>
      </c>
      <c r="AG75" s="4">
        <v>7</v>
      </c>
      <c r="AH75" s="4">
        <v>1</v>
      </c>
      <c r="AI75" s="4">
        <v>1</v>
      </c>
      <c r="AJ75" s="4">
        <v>3</v>
      </c>
      <c r="AK75" s="4">
        <v>3</v>
      </c>
      <c r="AL75" s="4">
        <v>4</v>
      </c>
      <c r="AM75" s="4">
        <v>4</v>
      </c>
      <c r="AN75" s="4">
        <v>0</v>
      </c>
      <c r="AO75" s="4">
        <v>0</v>
      </c>
      <c r="AP75" s="4">
        <v>0</v>
      </c>
      <c r="AQ75" s="4">
        <v>0</v>
      </c>
      <c r="AR75" s="3" t="s">
        <v>62</v>
      </c>
      <c r="AS75" s="3" t="s">
        <v>84</v>
      </c>
      <c r="AT75" s="6" t="str">
        <f>HYPERLINK("http://catalog.hathitrust.org/Record/001402077","HathiTrust Record")</f>
        <v>HathiTrust Record</v>
      </c>
      <c r="AU75" s="6" t="str">
        <f>HYPERLINK("https://creighton-primo.hosted.exlibrisgroup.com/primo-explore/search?tab=default_tab&amp;search_scope=EVERYTHING&amp;vid=01CRU&amp;lang=en_US&amp;offset=0&amp;query=any,contains,991003304359702656","Catalog Record")</f>
        <v>Catalog Record</v>
      </c>
      <c r="AV75" s="6" t="str">
        <f>HYPERLINK("http://www.worldcat.org/oclc/827686","WorldCat Record")</f>
        <v>WorldCat Record</v>
      </c>
      <c r="AW75" s="3" t="s">
        <v>1044</v>
      </c>
      <c r="AX75" s="3" t="s">
        <v>1045</v>
      </c>
      <c r="AY75" s="3" t="s">
        <v>1046</v>
      </c>
      <c r="AZ75" s="3" t="s">
        <v>1046</v>
      </c>
      <c r="BA75" s="3" t="s">
        <v>1047</v>
      </c>
      <c r="BB75" s="3" t="s">
        <v>77</v>
      </c>
      <c r="BD75" s="3" t="s">
        <v>1048</v>
      </c>
      <c r="BE75" s="3" t="s">
        <v>1049</v>
      </c>
      <c r="BF75" s="3" t="s">
        <v>1050</v>
      </c>
    </row>
    <row r="76" spans="1:58" ht="36.75" customHeight="1" x14ac:dyDescent="0.25">
      <c r="A76" s="7" t="s">
        <v>62</v>
      </c>
      <c r="B76" s="2" t="s">
        <v>57</v>
      </c>
      <c r="C76" s="2" t="s">
        <v>58</v>
      </c>
      <c r="D76" s="2" t="s">
        <v>1051</v>
      </c>
      <c r="E76" s="2" t="s">
        <v>1052</v>
      </c>
      <c r="F76" s="2" t="s">
        <v>1053</v>
      </c>
      <c r="H76" s="3" t="s">
        <v>62</v>
      </c>
      <c r="I76" s="3" t="s">
        <v>63</v>
      </c>
      <c r="J76" s="3" t="s">
        <v>62</v>
      </c>
      <c r="K76" s="3" t="s">
        <v>62</v>
      </c>
      <c r="L76" s="3" t="s">
        <v>64</v>
      </c>
      <c r="N76" s="2" t="s">
        <v>1054</v>
      </c>
      <c r="O76" s="3" t="s">
        <v>470</v>
      </c>
      <c r="Q76" s="3" t="s">
        <v>68</v>
      </c>
      <c r="R76" s="3" t="s">
        <v>1055</v>
      </c>
      <c r="S76" s="2" t="s">
        <v>1056</v>
      </c>
      <c r="T76" s="3" t="s">
        <v>70</v>
      </c>
      <c r="U76" s="4">
        <v>6</v>
      </c>
      <c r="V76" s="4">
        <v>6</v>
      </c>
      <c r="W76" s="5" t="s">
        <v>1057</v>
      </c>
      <c r="X76" s="5" t="s">
        <v>1057</v>
      </c>
      <c r="Y76" s="5" t="s">
        <v>1000</v>
      </c>
      <c r="Z76" s="5" t="s">
        <v>1000</v>
      </c>
      <c r="AA76" s="4">
        <v>296</v>
      </c>
      <c r="AB76" s="4">
        <v>219</v>
      </c>
      <c r="AC76" s="4">
        <v>221</v>
      </c>
      <c r="AD76" s="4">
        <v>2</v>
      </c>
      <c r="AE76" s="4">
        <v>2</v>
      </c>
      <c r="AF76" s="4">
        <v>13</v>
      </c>
      <c r="AG76" s="4">
        <v>13</v>
      </c>
      <c r="AH76" s="4">
        <v>4</v>
      </c>
      <c r="AI76" s="4">
        <v>4</v>
      </c>
      <c r="AJ76" s="4">
        <v>3</v>
      </c>
      <c r="AK76" s="4">
        <v>3</v>
      </c>
      <c r="AL76" s="4">
        <v>6</v>
      </c>
      <c r="AM76" s="4">
        <v>6</v>
      </c>
      <c r="AN76" s="4">
        <v>1</v>
      </c>
      <c r="AO76" s="4">
        <v>1</v>
      </c>
      <c r="AP76" s="4">
        <v>0</v>
      </c>
      <c r="AQ76" s="4">
        <v>0</v>
      </c>
      <c r="AR76" s="3" t="s">
        <v>62</v>
      </c>
      <c r="AS76" s="3" t="s">
        <v>84</v>
      </c>
      <c r="AT76" s="6" t="str">
        <f>HYPERLINK("http://catalog.hathitrust.org/Record/007886550","HathiTrust Record")</f>
        <v>HathiTrust Record</v>
      </c>
      <c r="AU76" s="6" t="str">
        <f>HYPERLINK("https://creighton-primo.hosted.exlibrisgroup.com/primo-explore/search?tab=default_tab&amp;search_scope=EVERYTHING&amp;vid=01CRU&amp;lang=en_US&amp;offset=0&amp;query=any,contains,991004210469702656","Catalog Record")</f>
        <v>Catalog Record</v>
      </c>
      <c r="AV76" s="6" t="str">
        <f>HYPERLINK("http://www.worldcat.org/oclc/2680984","WorldCat Record")</f>
        <v>WorldCat Record</v>
      </c>
      <c r="AW76" s="3" t="s">
        <v>1058</v>
      </c>
      <c r="AX76" s="3" t="s">
        <v>1059</v>
      </c>
      <c r="AY76" s="3" t="s">
        <v>1060</v>
      </c>
      <c r="AZ76" s="3" t="s">
        <v>1060</v>
      </c>
      <c r="BA76" s="3" t="s">
        <v>1061</v>
      </c>
      <c r="BB76" s="3" t="s">
        <v>77</v>
      </c>
      <c r="BD76" s="3" t="s">
        <v>1062</v>
      </c>
      <c r="BE76" s="3" t="s">
        <v>1063</v>
      </c>
      <c r="BF76" s="3" t="s">
        <v>1064</v>
      </c>
    </row>
    <row r="77" spans="1:58" ht="36.75" customHeight="1" x14ac:dyDescent="0.25">
      <c r="A77" s="7" t="s">
        <v>62</v>
      </c>
      <c r="B77" s="2" t="s">
        <v>57</v>
      </c>
      <c r="C77" s="2" t="s">
        <v>58</v>
      </c>
      <c r="D77" s="2" t="s">
        <v>1065</v>
      </c>
      <c r="E77" s="2" t="s">
        <v>1066</v>
      </c>
      <c r="F77" s="2" t="s">
        <v>1067</v>
      </c>
      <c r="H77" s="3" t="s">
        <v>62</v>
      </c>
      <c r="I77" s="3" t="s">
        <v>63</v>
      </c>
      <c r="J77" s="3" t="s">
        <v>62</v>
      </c>
      <c r="K77" s="3" t="s">
        <v>62</v>
      </c>
      <c r="L77" s="3" t="s">
        <v>64</v>
      </c>
      <c r="M77" s="2" t="s">
        <v>1068</v>
      </c>
      <c r="N77" s="2" t="s">
        <v>1069</v>
      </c>
      <c r="O77" s="3" t="s">
        <v>572</v>
      </c>
      <c r="Q77" s="3" t="s">
        <v>68</v>
      </c>
      <c r="R77" s="3" t="s">
        <v>1070</v>
      </c>
      <c r="S77" s="2" t="s">
        <v>1071</v>
      </c>
      <c r="T77" s="3" t="s">
        <v>70</v>
      </c>
      <c r="U77" s="4">
        <v>1</v>
      </c>
      <c r="V77" s="4">
        <v>1</v>
      </c>
      <c r="W77" s="5" t="s">
        <v>1072</v>
      </c>
      <c r="X77" s="5" t="s">
        <v>1072</v>
      </c>
      <c r="Y77" s="5" t="s">
        <v>1000</v>
      </c>
      <c r="Z77" s="5" t="s">
        <v>1000</v>
      </c>
      <c r="AA77" s="4">
        <v>305</v>
      </c>
      <c r="AB77" s="4">
        <v>205</v>
      </c>
      <c r="AC77" s="4">
        <v>224</v>
      </c>
      <c r="AD77" s="4">
        <v>2</v>
      </c>
      <c r="AE77" s="4">
        <v>2</v>
      </c>
      <c r="AF77" s="4">
        <v>12</v>
      </c>
      <c r="AG77" s="4">
        <v>12</v>
      </c>
      <c r="AH77" s="4">
        <v>4</v>
      </c>
      <c r="AI77" s="4">
        <v>4</v>
      </c>
      <c r="AJ77" s="4">
        <v>2</v>
      </c>
      <c r="AK77" s="4">
        <v>2</v>
      </c>
      <c r="AL77" s="4">
        <v>8</v>
      </c>
      <c r="AM77" s="4">
        <v>8</v>
      </c>
      <c r="AN77" s="4">
        <v>1</v>
      </c>
      <c r="AO77" s="4">
        <v>1</v>
      </c>
      <c r="AP77" s="4">
        <v>0</v>
      </c>
      <c r="AQ77" s="4">
        <v>0</v>
      </c>
      <c r="AR77" s="3" t="s">
        <v>62</v>
      </c>
      <c r="AS77" s="3" t="s">
        <v>62</v>
      </c>
      <c r="AU77" s="6" t="str">
        <f>HYPERLINK("https://creighton-primo.hosted.exlibrisgroup.com/primo-explore/search?tab=default_tab&amp;search_scope=EVERYTHING&amp;vid=01CRU&amp;lang=en_US&amp;offset=0&amp;query=any,contains,991000051649702656","Catalog Record")</f>
        <v>Catalog Record</v>
      </c>
      <c r="AV77" s="6" t="str">
        <f>HYPERLINK("http://www.worldcat.org/oclc/8688758","WorldCat Record")</f>
        <v>WorldCat Record</v>
      </c>
      <c r="AW77" s="3" t="s">
        <v>1073</v>
      </c>
      <c r="AX77" s="3" t="s">
        <v>1074</v>
      </c>
      <c r="AY77" s="3" t="s">
        <v>1075</v>
      </c>
      <c r="AZ77" s="3" t="s">
        <v>1075</v>
      </c>
      <c r="BA77" s="3" t="s">
        <v>1076</v>
      </c>
      <c r="BB77" s="3" t="s">
        <v>77</v>
      </c>
      <c r="BD77" s="3" t="s">
        <v>1077</v>
      </c>
      <c r="BE77" s="3" t="s">
        <v>1078</v>
      </c>
      <c r="BF77" s="3" t="s">
        <v>1079</v>
      </c>
    </row>
    <row r="78" spans="1:58" ht="36.75" customHeight="1" x14ac:dyDescent="0.25">
      <c r="A78" s="7" t="s">
        <v>62</v>
      </c>
      <c r="B78" s="2" t="s">
        <v>57</v>
      </c>
      <c r="C78" s="2" t="s">
        <v>58</v>
      </c>
      <c r="D78" s="2" t="s">
        <v>1080</v>
      </c>
      <c r="E78" s="2" t="s">
        <v>1081</v>
      </c>
      <c r="F78" s="2" t="s">
        <v>1082</v>
      </c>
      <c r="H78" s="3" t="s">
        <v>62</v>
      </c>
      <c r="I78" s="3" t="s">
        <v>63</v>
      </c>
      <c r="J78" s="3" t="s">
        <v>62</v>
      </c>
      <c r="K78" s="3" t="s">
        <v>62</v>
      </c>
      <c r="L78" s="3" t="s">
        <v>64</v>
      </c>
      <c r="M78" s="2" t="s">
        <v>103</v>
      </c>
      <c r="N78" s="2" t="s">
        <v>1083</v>
      </c>
      <c r="O78" s="3" t="s">
        <v>1084</v>
      </c>
      <c r="Q78" s="3" t="s">
        <v>68</v>
      </c>
      <c r="R78" s="3" t="s">
        <v>699</v>
      </c>
      <c r="T78" s="3" t="s">
        <v>70</v>
      </c>
      <c r="U78" s="4">
        <v>1</v>
      </c>
      <c r="V78" s="4">
        <v>1</v>
      </c>
      <c r="W78" s="5" t="s">
        <v>1085</v>
      </c>
      <c r="X78" s="5" t="s">
        <v>1085</v>
      </c>
      <c r="Y78" s="5" t="s">
        <v>1000</v>
      </c>
      <c r="Z78" s="5" t="s">
        <v>1000</v>
      </c>
      <c r="AA78" s="4">
        <v>459</v>
      </c>
      <c r="AB78" s="4">
        <v>392</v>
      </c>
      <c r="AC78" s="4">
        <v>432</v>
      </c>
      <c r="AD78" s="4">
        <v>3</v>
      </c>
      <c r="AE78" s="4">
        <v>3</v>
      </c>
      <c r="AF78" s="4">
        <v>14</v>
      </c>
      <c r="AG78" s="4">
        <v>18</v>
      </c>
      <c r="AH78" s="4">
        <v>4</v>
      </c>
      <c r="AI78" s="4">
        <v>5</v>
      </c>
      <c r="AJ78" s="4">
        <v>4</v>
      </c>
      <c r="AK78" s="4">
        <v>6</v>
      </c>
      <c r="AL78" s="4">
        <v>7</v>
      </c>
      <c r="AM78" s="4">
        <v>10</v>
      </c>
      <c r="AN78" s="4">
        <v>2</v>
      </c>
      <c r="AO78" s="4">
        <v>2</v>
      </c>
      <c r="AP78" s="4">
        <v>0</v>
      </c>
      <c r="AQ78" s="4">
        <v>0</v>
      </c>
      <c r="AR78" s="3" t="s">
        <v>62</v>
      </c>
      <c r="AS78" s="3" t="s">
        <v>84</v>
      </c>
      <c r="AT78" s="6" t="str">
        <f>HYPERLINK("http://catalog.hathitrust.org/Record/000205843","HathiTrust Record")</f>
        <v>HathiTrust Record</v>
      </c>
      <c r="AU78" s="6" t="str">
        <f>HYPERLINK("https://creighton-primo.hosted.exlibrisgroup.com/primo-explore/search?tab=default_tab&amp;search_scope=EVERYTHING&amp;vid=01CRU&amp;lang=en_US&amp;offset=0&amp;query=any,contains,991000219929702656","Catalog Record")</f>
        <v>Catalog Record</v>
      </c>
      <c r="AV78" s="6" t="str">
        <f>HYPERLINK("http://www.worldcat.org/oclc/9575821","WorldCat Record")</f>
        <v>WorldCat Record</v>
      </c>
      <c r="AW78" s="3" t="s">
        <v>1086</v>
      </c>
      <c r="AX78" s="3" t="s">
        <v>1087</v>
      </c>
      <c r="AY78" s="3" t="s">
        <v>1088</v>
      </c>
      <c r="AZ78" s="3" t="s">
        <v>1088</v>
      </c>
      <c r="BA78" s="3" t="s">
        <v>1089</v>
      </c>
      <c r="BB78" s="3" t="s">
        <v>77</v>
      </c>
      <c r="BD78" s="3" t="s">
        <v>1090</v>
      </c>
      <c r="BE78" s="3" t="s">
        <v>1091</v>
      </c>
      <c r="BF78" s="3" t="s">
        <v>1092</v>
      </c>
    </row>
    <row r="79" spans="1:58" ht="36.75" customHeight="1" x14ac:dyDescent="0.25">
      <c r="A79" s="7" t="s">
        <v>62</v>
      </c>
      <c r="B79" s="2" t="s">
        <v>57</v>
      </c>
      <c r="C79" s="2" t="s">
        <v>58</v>
      </c>
      <c r="D79" s="2" t="s">
        <v>1093</v>
      </c>
      <c r="E79" s="2" t="s">
        <v>1094</v>
      </c>
      <c r="F79" s="2" t="s">
        <v>1095</v>
      </c>
      <c r="H79" s="3" t="s">
        <v>62</v>
      </c>
      <c r="I79" s="3" t="s">
        <v>63</v>
      </c>
      <c r="J79" s="3" t="s">
        <v>62</v>
      </c>
      <c r="K79" s="3" t="s">
        <v>62</v>
      </c>
      <c r="L79" s="3" t="s">
        <v>64</v>
      </c>
      <c r="M79" s="2" t="s">
        <v>1096</v>
      </c>
      <c r="N79" s="2" t="s">
        <v>1097</v>
      </c>
      <c r="O79" s="3" t="s">
        <v>428</v>
      </c>
      <c r="Q79" s="3" t="s">
        <v>68</v>
      </c>
      <c r="R79" s="3" t="s">
        <v>87</v>
      </c>
      <c r="T79" s="3" t="s">
        <v>70</v>
      </c>
      <c r="U79" s="4">
        <v>1</v>
      </c>
      <c r="V79" s="4">
        <v>1</v>
      </c>
      <c r="W79" s="5" t="s">
        <v>1098</v>
      </c>
      <c r="X79" s="5" t="s">
        <v>1098</v>
      </c>
      <c r="Y79" s="5" t="s">
        <v>1098</v>
      </c>
      <c r="Z79" s="5" t="s">
        <v>1098</v>
      </c>
      <c r="AA79" s="4">
        <v>611</v>
      </c>
      <c r="AB79" s="4">
        <v>565</v>
      </c>
      <c r="AC79" s="4">
        <v>597</v>
      </c>
      <c r="AD79" s="4">
        <v>3</v>
      </c>
      <c r="AE79" s="4">
        <v>3</v>
      </c>
      <c r="AF79" s="4">
        <v>17</v>
      </c>
      <c r="AG79" s="4">
        <v>17</v>
      </c>
      <c r="AH79" s="4">
        <v>8</v>
      </c>
      <c r="AI79" s="4">
        <v>8</v>
      </c>
      <c r="AJ79" s="4">
        <v>5</v>
      </c>
      <c r="AK79" s="4">
        <v>5</v>
      </c>
      <c r="AL79" s="4">
        <v>8</v>
      </c>
      <c r="AM79" s="4">
        <v>8</v>
      </c>
      <c r="AN79" s="4">
        <v>1</v>
      </c>
      <c r="AO79" s="4">
        <v>1</v>
      </c>
      <c r="AP79" s="4">
        <v>0</v>
      </c>
      <c r="AQ79" s="4">
        <v>0</v>
      </c>
      <c r="AR79" s="3" t="s">
        <v>62</v>
      </c>
      <c r="AS79" s="3" t="s">
        <v>62</v>
      </c>
      <c r="AU79" s="6" t="str">
        <f>HYPERLINK("https://creighton-primo.hosted.exlibrisgroup.com/primo-explore/search?tab=default_tab&amp;search_scope=EVERYTHING&amp;vid=01CRU&amp;lang=en_US&amp;offset=0&amp;query=any,contains,991005233689702656","Catalog Record")</f>
        <v>Catalog Record</v>
      </c>
      <c r="AV79" s="6" t="str">
        <f>HYPERLINK("http://www.worldcat.org/oclc/1320713","WorldCat Record")</f>
        <v>WorldCat Record</v>
      </c>
      <c r="AW79" s="3" t="s">
        <v>1099</v>
      </c>
      <c r="AX79" s="3" t="s">
        <v>1100</v>
      </c>
      <c r="AY79" s="3" t="s">
        <v>1101</v>
      </c>
      <c r="AZ79" s="3" t="s">
        <v>1101</v>
      </c>
      <c r="BA79" s="3" t="s">
        <v>1102</v>
      </c>
      <c r="BB79" s="3" t="s">
        <v>77</v>
      </c>
      <c r="BE79" s="3" t="s">
        <v>1103</v>
      </c>
      <c r="BF79" s="3" t="s">
        <v>1104</v>
      </c>
    </row>
    <row r="80" spans="1:58" ht="36.75" customHeight="1" x14ac:dyDescent="0.25">
      <c r="A80" s="7" t="s">
        <v>62</v>
      </c>
      <c r="B80" s="2" t="s">
        <v>57</v>
      </c>
      <c r="C80" s="2" t="s">
        <v>58</v>
      </c>
      <c r="D80" s="2" t="s">
        <v>1105</v>
      </c>
      <c r="E80" s="2" t="s">
        <v>1106</v>
      </c>
      <c r="F80" s="2" t="s">
        <v>1107</v>
      </c>
      <c r="H80" s="3" t="s">
        <v>62</v>
      </c>
      <c r="I80" s="3" t="s">
        <v>63</v>
      </c>
      <c r="J80" s="3" t="s">
        <v>62</v>
      </c>
      <c r="K80" s="3" t="s">
        <v>62</v>
      </c>
      <c r="L80" s="3" t="s">
        <v>64</v>
      </c>
      <c r="M80" s="2" t="s">
        <v>103</v>
      </c>
      <c r="N80" s="2" t="s">
        <v>1108</v>
      </c>
      <c r="O80" s="3" t="s">
        <v>455</v>
      </c>
      <c r="Q80" s="3" t="s">
        <v>68</v>
      </c>
      <c r="R80" s="3" t="s">
        <v>441</v>
      </c>
      <c r="S80" s="2" t="s">
        <v>1109</v>
      </c>
      <c r="T80" s="3" t="s">
        <v>70</v>
      </c>
      <c r="U80" s="4">
        <v>6</v>
      </c>
      <c r="V80" s="4">
        <v>6</v>
      </c>
      <c r="W80" s="5" t="s">
        <v>755</v>
      </c>
      <c r="X80" s="5" t="s">
        <v>755</v>
      </c>
      <c r="Y80" s="5" t="s">
        <v>1000</v>
      </c>
      <c r="Z80" s="5" t="s">
        <v>1000</v>
      </c>
      <c r="AA80" s="4">
        <v>394</v>
      </c>
      <c r="AB80" s="4">
        <v>297</v>
      </c>
      <c r="AC80" s="4">
        <v>308</v>
      </c>
      <c r="AD80" s="4">
        <v>3</v>
      </c>
      <c r="AE80" s="4">
        <v>3</v>
      </c>
      <c r="AF80" s="4">
        <v>15</v>
      </c>
      <c r="AG80" s="4">
        <v>15</v>
      </c>
      <c r="AH80" s="4">
        <v>4</v>
      </c>
      <c r="AI80" s="4">
        <v>4</v>
      </c>
      <c r="AJ80" s="4">
        <v>4</v>
      </c>
      <c r="AK80" s="4">
        <v>4</v>
      </c>
      <c r="AL80" s="4">
        <v>8</v>
      </c>
      <c r="AM80" s="4">
        <v>8</v>
      </c>
      <c r="AN80" s="4">
        <v>2</v>
      </c>
      <c r="AO80" s="4">
        <v>2</v>
      </c>
      <c r="AP80" s="4">
        <v>0</v>
      </c>
      <c r="AQ80" s="4">
        <v>0</v>
      </c>
      <c r="AR80" s="3" t="s">
        <v>62</v>
      </c>
      <c r="AS80" s="3" t="s">
        <v>62</v>
      </c>
      <c r="AU80" s="6" t="str">
        <f>HYPERLINK("https://creighton-primo.hosted.exlibrisgroup.com/primo-explore/search?tab=default_tab&amp;search_scope=EVERYTHING&amp;vid=01CRU&amp;lang=en_US&amp;offset=0&amp;query=any,contains,991000758869702656","Catalog Record")</f>
        <v>Catalog Record</v>
      </c>
      <c r="AV80" s="6" t="str">
        <f>HYPERLINK("http://www.worldcat.org/oclc/130701","WorldCat Record")</f>
        <v>WorldCat Record</v>
      </c>
      <c r="AW80" s="3" t="s">
        <v>1110</v>
      </c>
      <c r="AX80" s="3" t="s">
        <v>1111</v>
      </c>
      <c r="AY80" s="3" t="s">
        <v>1112</v>
      </c>
      <c r="AZ80" s="3" t="s">
        <v>1112</v>
      </c>
      <c r="BA80" s="3" t="s">
        <v>1113</v>
      </c>
      <c r="BB80" s="3" t="s">
        <v>77</v>
      </c>
      <c r="BE80" s="3" t="s">
        <v>1114</v>
      </c>
      <c r="BF80" s="3" t="s">
        <v>1115</v>
      </c>
    </row>
    <row r="81" spans="1:58" ht="36.75" customHeight="1" x14ac:dyDescent="0.25">
      <c r="A81" s="7" t="s">
        <v>62</v>
      </c>
      <c r="B81" s="2" t="s">
        <v>57</v>
      </c>
      <c r="C81" s="2" t="s">
        <v>58</v>
      </c>
      <c r="D81" s="2" t="s">
        <v>1116</v>
      </c>
      <c r="E81" s="2" t="s">
        <v>1117</v>
      </c>
      <c r="F81" s="2" t="s">
        <v>1118</v>
      </c>
      <c r="H81" s="3" t="s">
        <v>62</v>
      </c>
      <c r="I81" s="3" t="s">
        <v>63</v>
      </c>
      <c r="J81" s="3" t="s">
        <v>62</v>
      </c>
      <c r="K81" s="3" t="s">
        <v>62</v>
      </c>
      <c r="L81" s="3" t="s">
        <v>64</v>
      </c>
      <c r="M81" s="2" t="s">
        <v>103</v>
      </c>
      <c r="N81" s="2" t="s">
        <v>1119</v>
      </c>
      <c r="O81" s="3" t="s">
        <v>1120</v>
      </c>
      <c r="Q81" s="3" t="s">
        <v>68</v>
      </c>
      <c r="R81" s="3" t="s">
        <v>69</v>
      </c>
      <c r="T81" s="3" t="s">
        <v>70</v>
      </c>
      <c r="U81" s="4">
        <v>5</v>
      </c>
      <c r="V81" s="4">
        <v>5</v>
      </c>
      <c r="W81" s="5" t="s">
        <v>1121</v>
      </c>
      <c r="X81" s="5" t="s">
        <v>1121</v>
      </c>
      <c r="Y81" s="5" t="s">
        <v>1000</v>
      </c>
      <c r="Z81" s="5" t="s">
        <v>1000</v>
      </c>
      <c r="AA81" s="4">
        <v>394</v>
      </c>
      <c r="AB81" s="4">
        <v>353</v>
      </c>
      <c r="AC81" s="4">
        <v>386</v>
      </c>
      <c r="AD81" s="4">
        <v>2</v>
      </c>
      <c r="AE81" s="4">
        <v>2</v>
      </c>
      <c r="AF81" s="4">
        <v>20</v>
      </c>
      <c r="AG81" s="4">
        <v>20</v>
      </c>
      <c r="AH81" s="4">
        <v>6</v>
      </c>
      <c r="AI81" s="4">
        <v>6</v>
      </c>
      <c r="AJ81" s="4">
        <v>5</v>
      </c>
      <c r="AK81" s="4">
        <v>5</v>
      </c>
      <c r="AL81" s="4">
        <v>14</v>
      </c>
      <c r="AM81" s="4">
        <v>14</v>
      </c>
      <c r="AN81" s="4">
        <v>1</v>
      </c>
      <c r="AO81" s="4">
        <v>1</v>
      </c>
      <c r="AP81" s="4">
        <v>0</v>
      </c>
      <c r="AQ81" s="4">
        <v>0</v>
      </c>
      <c r="AR81" s="3" t="s">
        <v>62</v>
      </c>
      <c r="AS81" s="3" t="s">
        <v>84</v>
      </c>
      <c r="AT81" s="6" t="str">
        <f>HYPERLINK("http://catalog.hathitrust.org/Record/000015965","HathiTrust Record")</f>
        <v>HathiTrust Record</v>
      </c>
      <c r="AU81" s="6" t="str">
        <f>HYPERLINK("https://creighton-primo.hosted.exlibrisgroup.com/primo-explore/search?tab=default_tab&amp;search_scope=EVERYTHING&amp;vid=01CRU&amp;lang=en_US&amp;offset=0&amp;query=any,contains,991003447119702656","Catalog Record")</f>
        <v>Catalog Record</v>
      </c>
      <c r="AV81" s="6" t="str">
        <f>HYPERLINK("http://www.worldcat.org/oclc/982708","WorldCat Record")</f>
        <v>WorldCat Record</v>
      </c>
      <c r="AW81" s="3" t="s">
        <v>1122</v>
      </c>
      <c r="AX81" s="3" t="s">
        <v>1123</v>
      </c>
      <c r="AY81" s="3" t="s">
        <v>1124</v>
      </c>
      <c r="AZ81" s="3" t="s">
        <v>1124</v>
      </c>
      <c r="BA81" s="3" t="s">
        <v>1125</v>
      </c>
      <c r="BB81" s="3" t="s">
        <v>77</v>
      </c>
      <c r="BE81" s="3" t="s">
        <v>1126</v>
      </c>
      <c r="BF81" s="3" t="s">
        <v>1127</v>
      </c>
    </row>
    <row r="82" spans="1:58" ht="36.75" customHeight="1" x14ac:dyDescent="0.25">
      <c r="A82" s="7" t="s">
        <v>62</v>
      </c>
      <c r="B82" s="2" t="s">
        <v>57</v>
      </c>
      <c r="C82" s="2" t="s">
        <v>58</v>
      </c>
      <c r="D82" s="2" t="s">
        <v>1128</v>
      </c>
      <c r="E82" s="2" t="s">
        <v>1129</v>
      </c>
      <c r="F82" s="2" t="s">
        <v>1130</v>
      </c>
      <c r="H82" s="3" t="s">
        <v>62</v>
      </c>
      <c r="I82" s="3" t="s">
        <v>63</v>
      </c>
      <c r="J82" s="3" t="s">
        <v>62</v>
      </c>
      <c r="K82" s="3" t="s">
        <v>62</v>
      </c>
      <c r="L82" s="3" t="s">
        <v>64</v>
      </c>
      <c r="M82" s="2" t="s">
        <v>1131</v>
      </c>
      <c r="N82" s="2" t="s">
        <v>1132</v>
      </c>
      <c r="O82" s="3" t="s">
        <v>455</v>
      </c>
      <c r="Q82" s="3" t="s">
        <v>68</v>
      </c>
      <c r="R82" s="3" t="s">
        <v>912</v>
      </c>
      <c r="T82" s="3" t="s">
        <v>70</v>
      </c>
      <c r="U82" s="4">
        <v>5</v>
      </c>
      <c r="V82" s="4">
        <v>5</v>
      </c>
      <c r="W82" s="5" t="s">
        <v>961</v>
      </c>
      <c r="X82" s="5" t="s">
        <v>961</v>
      </c>
      <c r="Y82" s="5" t="s">
        <v>1000</v>
      </c>
      <c r="Z82" s="5" t="s">
        <v>1000</v>
      </c>
      <c r="AA82" s="4">
        <v>493</v>
      </c>
      <c r="AB82" s="4">
        <v>421</v>
      </c>
      <c r="AC82" s="4">
        <v>546</v>
      </c>
      <c r="AD82" s="4">
        <v>3</v>
      </c>
      <c r="AE82" s="4">
        <v>5</v>
      </c>
      <c r="AF82" s="4">
        <v>21</v>
      </c>
      <c r="AG82" s="4">
        <v>28</v>
      </c>
      <c r="AH82" s="4">
        <v>6</v>
      </c>
      <c r="AI82" s="4">
        <v>10</v>
      </c>
      <c r="AJ82" s="4">
        <v>5</v>
      </c>
      <c r="AK82" s="4">
        <v>6</v>
      </c>
      <c r="AL82" s="4">
        <v>14</v>
      </c>
      <c r="AM82" s="4">
        <v>15</v>
      </c>
      <c r="AN82" s="4">
        <v>2</v>
      </c>
      <c r="AO82" s="4">
        <v>4</v>
      </c>
      <c r="AP82" s="4">
        <v>0</v>
      </c>
      <c r="AQ82" s="4">
        <v>0</v>
      </c>
      <c r="AR82" s="3" t="s">
        <v>62</v>
      </c>
      <c r="AS82" s="3" t="s">
        <v>84</v>
      </c>
      <c r="AT82" s="6" t="str">
        <f>HYPERLINK("http://catalog.hathitrust.org/Record/001402116","HathiTrust Record")</f>
        <v>HathiTrust Record</v>
      </c>
      <c r="AU82" s="6" t="str">
        <f>HYPERLINK("https://creighton-primo.hosted.exlibrisgroup.com/primo-explore/search?tab=default_tab&amp;search_scope=EVERYTHING&amp;vid=01CRU&amp;lang=en_US&amp;offset=0&amp;query=any,contains,991000729979702656","Catalog Record")</f>
        <v>Catalog Record</v>
      </c>
      <c r="AV82" s="6" t="str">
        <f>HYPERLINK("http://www.worldcat.org/oclc/128366","WorldCat Record")</f>
        <v>WorldCat Record</v>
      </c>
      <c r="AW82" s="3" t="s">
        <v>1133</v>
      </c>
      <c r="AX82" s="3" t="s">
        <v>1134</v>
      </c>
      <c r="AY82" s="3" t="s">
        <v>1135</v>
      </c>
      <c r="AZ82" s="3" t="s">
        <v>1135</v>
      </c>
      <c r="BA82" s="3" t="s">
        <v>1136</v>
      </c>
      <c r="BB82" s="3" t="s">
        <v>77</v>
      </c>
      <c r="BD82" s="3" t="s">
        <v>1137</v>
      </c>
      <c r="BE82" s="3" t="s">
        <v>1138</v>
      </c>
      <c r="BF82" s="3" t="s">
        <v>1139</v>
      </c>
    </row>
    <row r="83" spans="1:58" ht="36.75" customHeight="1" x14ac:dyDescent="0.25">
      <c r="A83" s="7" t="s">
        <v>62</v>
      </c>
      <c r="B83" s="2" t="s">
        <v>57</v>
      </c>
      <c r="C83" s="2" t="s">
        <v>58</v>
      </c>
      <c r="D83" s="2" t="s">
        <v>1140</v>
      </c>
      <c r="E83" s="2" t="s">
        <v>1141</v>
      </c>
      <c r="F83" s="2" t="s">
        <v>1142</v>
      </c>
      <c r="H83" s="3" t="s">
        <v>62</v>
      </c>
      <c r="I83" s="3" t="s">
        <v>63</v>
      </c>
      <c r="J83" s="3" t="s">
        <v>62</v>
      </c>
      <c r="K83" s="3" t="s">
        <v>62</v>
      </c>
      <c r="L83" s="3" t="s">
        <v>64</v>
      </c>
      <c r="M83" s="2" t="s">
        <v>1143</v>
      </c>
      <c r="N83" s="2" t="s">
        <v>1144</v>
      </c>
      <c r="O83" s="3" t="s">
        <v>712</v>
      </c>
      <c r="Q83" s="3" t="s">
        <v>68</v>
      </c>
      <c r="R83" s="3" t="s">
        <v>305</v>
      </c>
      <c r="T83" s="3" t="s">
        <v>70</v>
      </c>
      <c r="U83" s="4">
        <v>4</v>
      </c>
      <c r="V83" s="4">
        <v>4</v>
      </c>
      <c r="W83" s="5" t="s">
        <v>1145</v>
      </c>
      <c r="X83" s="5" t="s">
        <v>1145</v>
      </c>
      <c r="Y83" s="5" t="s">
        <v>1146</v>
      </c>
      <c r="Z83" s="5" t="s">
        <v>1146</v>
      </c>
      <c r="AA83" s="4">
        <v>482</v>
      </c>
      <c r="AB83" s="4">
        <v>407</v>
      </c>
      <c r="AC83" s="4">
        <v>412</v>
      </c>
      <c r="AD83" s="4">
        <v>2</v>
      </c>
      <c r="AE83" s="4">
        <v>2</v>
      </c>
      <c r="AF83" s="4">
        <v>24</v>
      </c>
      <c r="AG83" s="4">
        <v>24</v>
      </c>
      <c r="AH83" s="4">
        <v>10</v>
      </c>
      <c r="AI83" s="4">
        <v>10</v>
      </c>
      <c r="AJ83" s="4">
        <v>7</v>
      </c>
      <c r="AK83" s="4">
        <v>7</v>
      </c>
      <c r="AL83" s="4">
        <v>14</v>
      </c>
      <c r="AM83" s="4">
        <v>14</v>
      </c>
      <c r="AN83" s="4">
        <v>1</v>
      </c>
      <c r="AO83" s="4">
        <v>1</v>
      </c>
      <c r="AP83" s="4">
        <v>0</v>
      </c>
      <c r="AQ83" s="4">
        <v>0</v>
      </c>
      <c r="AR83" s="3" t="s">
        <v>62</v>
      </c>
      <c r="AS83" s="3" t="s">
        <v>62</v>
      </c>
      <c r="AU83" s="6" t="str">
        <f>HYPERLINK("https://creighton-primo.hosted.exlibrisgroup.com/primo-explore/search?tab=default_tab&amp;search_scope=EVERYTHING&amp;vid=01CRU&amp;lang=en_US&amp;offset=0&amp;query=any,contains,991000485059702656","Catalog Record")</f>
        <v>Catalog Record</v>
      </c>
      <c r="AV83" s="6" t="str">
        <f>HYPERLINK("http://www.worldcat.org/oclc/11068913","WorldCat Record")</f>
        <v>WorldCat Record</v>
      </c>
      <c r="AW83" s="3" t="s">
        <v>1147</v>
      </c>
      <c r="AX83" s="3" t="s">
        <v>1148</v>
      </c>
      <c r="AY83" s="3" t="s">
        <v>1149</v>
      </c>
      <c r="AZ83" s="3" t="s">
        <v>1149</v>
      </c>
      <c r="BA83" s="3" t="s">
        <v>1150</v>
      </c>
      <c r="BB83" s="3" t="s">
        <v>77</v>
      </c>
      <c r="BD83" s="3" t="s">
        <v>1151</v>
      </c>
      <c r="BE83" s="3" t="s">
        <v>1152</v>
      </c>
      <c r="BF83" s="3" t="s">
        <v>1153</v>
      </c>
    </row>
    <row r="84" spans="1:58" ht="36.75" customHeight="1" x14ac:dyDescent="0.25">
      <c r="A84" s="7" t="s">
        <v>62</v>
      </c>
      <c r="B84" s="2" t="s">
        <v>57</v>
      </c>
      <c r="C84" s="2" t="s">
        <v>58</v>
      </c>
      <c r="D84" s="2" t="s">
        <v>1154</v>
      </c>
      <c r="E84" s="2" t="s">
        <v>1155</v>
      </c>
      <c r="F84" s="2" t="s">
        <v>1156</v>
      </c>
      <c r="H84" s="3" t="s">
        <v>62</v>
      </c>
      <c r="I84" s="3" t="s">
        <v>63</v>
      </c>
      <c r="J84" s="3" t="s">
        <v>62</v>
      </c>
      <c r="K84" s="3" t="s">
        <v>62</v>
      </c>
      <c r="L84" s="3" t="s">
        <v>64</v>
      </c>
      <c r="M84" s="2" t="s">
        <v>1157</v>
      </c>
      <c r="N84" s="2" t="s">
        <v>1158</v>
      </c>
      <c r="O84" s="3" t="s">
        <v>1012</v>
      </c>
      <c r="Q84" s="3" t="s">
        <v>68</v>
      </c>
      <c r="R84" s="3" t="s">
        <v>203</v>
      </c>
      <c r="T84" s="3" t="s">
        <v>70</v>
      </c>
      <c r="U84" s="4">
        <v>0</v>
      </c>
      <c r="V84" s="4">
        <v>0</v>
      </c>
      <c r="W84" s="5" t="s">
        <v>1159</v>
      </c>
      <c r="X84" s="5" t="s">
        <v>1159</v>
      </c>
      <c r="Y84" s="5" t="s">
        <v>1160</v>
      </c>
      <c r="Z84" s="5" t="s">
        <v>1160</v>
      </c>
      <c r="AA84" s="4">
        <v>156</v>
      </c>
      <c r="AB84" s="4">
        <v>111</v>
      </c>
      <c r="AC84" s="4">
        <v>112</v>
      </c>
      <c r="AD84" s="4">
        <v>1</v>
      </c>
      <c r="AE84" s="4">
        <v>1</v>
      </c>
      <c r="AF84" s="4">
        <v>3</v>
      </c>
      <c r="AG84" s="4">
        <v>3</v>
      </c>
      <c r="AH84" s="4">
        <v>1</v>
      </c>
      <c r="AI84" s="4">
        <v>1</v>
      </c>
      <c r="AJ84" s="4">
        <v>2</v>
      </c>
      <c r="AK84" s="4">
        <v>2</v>
      </c>
      <c r="AL84" s="4">
        <v>1</v>
      </c>
      <c r="AM84" s="4">
        <v>1</v>
      </c>
      <c r="AN84" s="4">
        <v>0</v>
      </c>
      <c r="AO84" s="4">
        <v>0</v>
      </c>
      <c r="AP84" s="4">
        <v>0</v>
      </c>
      <c r="AQ84" s="4">
        <v>0</v>
      </c>
      <c r="AR84" s="3" t="s">
        <v>62</v>
      </c>
      <c r="AS84" s="3" t="s">
        <v>62</v>
      </c>
      <c r="AU84" s="6" t="str">
        <f>HYPERLINK("https://creighton-primo.hosted.exlibrisgroup.com/primo-explore/search?tab=default_tab&amp;search_scope=EVERYTHING&amp;vid=01CRU&amp;lang=en_US&amp;offset=0&amp;query=any,contains,991001707839702656","Catalog Record")</f>
        <v>Catalog Record</v>
      </c>
      <c r="AV84" s="6" t="str">
        <f>HYPERLINK("http://www.worldcat.org/oclc/21586355","WorldCat Record")</f>
        <v>WorldCat Record</v>
      </c>
      <c r="AW84" s="3" t="s">
        <v>1161</v>
      </c>
      <c r="AX84" s="3" t="s">
        <v>1162</v>
      </c>
      <c r="AY84" s="3" t="s">
        <v>1163</v>
      </c>
      <c r="AZ84" s="3" t="s">
        <v>1163</v>
      </c>
      <c r="BA84" s="3" t="s">
        <v>1164</v>
      </c>
      <c r="BB84" s="3" t="s">
        <v>77</v>
      </c>
      <c r="BD84" s="3" t="s">
        <v>1165</v>
      </c>
      <c r="BE84" s="3" t="s">
        <v>1166</v>
      </c>
      <c r="BF84" s="3" t="s">
        <v>1167</v>
      </c>
    </row>
    <row r="85" spans="1:58" ht="36.75" customHeight="1" x14ac:dyDescent="0.25">
      <c r="A85" s="7" t="s">
        <v>62</v>
      </c>
      <c r="B85" s="2" t="s">
        <v>57</v>
      </c>
      <c r="C85" s="2" t="s">
        <v>58</v>
      </c>
      <c r="D85" s="2" t="s">
        <v>1168</v>
      </c>
      <c r="E85" s="2" t="s">
        <v>1169</v>
      </c>
      <c r="F85" s="2" t="s">
        <v>1170</v>
      </c>
      <c r="H85" s="3" t="s">
        <v>62</v>
      </c>
      <c r="I85" s="3" t="s">
        <v>63</v>
      </c>
      <c r="J85" s="3" t="s">
        <v>62</v>
      </c>
      <c r="K85" s="3" t="s">
        <v>62</v>
      </c>
      <c r="L85" s="3" t="s">
        <v>64</v>
      </c>
      <c r="M85" s="2" t="s">
        <v>1171</v>
      </c>
      <c r="N85" s="2" t="s">
        <v>1172</v>
      </c>
      <c r="O85" s="3" t="s">
        <v>767</v>
      </c>
      <c r="P85" s="2" t="s">
        <v>1173</v>
      </c>
      <c r="Q85" s="3" t="s">
        <v>68</v>
      </c>
      <c r="R85" s="3" t="s">
        <v>87</v>
      </c>
      <c r="T85" s="3" t="s">
        <v>70</v>
      </c>
      <c r="U85" s="4">
        <v>4</v>
      </c>
      <c r="V85" s="4">
        <v>4</v>
      </c>
      <c r="W85" s="5" t="s">
        <v>1174</v>
      </c>
      <c r="X85" s="5" t="s">
        <v>1174</v>
      </c>
      <c r="Y85" s="5" t="s">
        <v>1000</v>
      </c>
      <c r="Z85" s="5" t="s">
        <v>1000</v>
      </c>
      <c r="AA85" s="4">
        <v>218</v>
      </c>
      <c r="AB85" s="4">
        <v>208</v>
      </c>
      <c r="AC85" s="4">
        <v>415</v>
      </c>
      <c r="AD85" s="4">
        <v>1</v>
      </c>
      <c r="AE85" s="4">
        <v>3</v>
      </c>
      <c r="AF85" s="4">
        <v>10</v>
      </c>
      <c r="AG85" s="4">
        <v>22</v>
      </c>
      <c r="AH85" s="4">
        <v>2</v>
      </c>
      <c r="AI85" s="4">
        <v>10</v>
      </c>
      <c r="AJ85" s="4">
        <v>3</v>
      </c>
      <c r="AK85" s="4">
        <v>4</v>
      </c>
      <c r="AL85" s="4">
        <v>7</v>
      </c>
      <c r="AM85" s="4">
        <v>14</v>
      </c>
      <c r="AN85" s="4">
        <v>0</v>
      </c>
      <c r="AO85" s="4">
        <v>1</v>
      </c>
      <c r="AP85" s="4">
        <v>0</v>
      </c>
      <c r="AQ85" s="4">
        <v>0</v>
      </c>
      <c r="AR85" s="3" t="s">
        <v>62</v>
      </c>
      <c r="AS85" s="3" t="s">
        <v>84</v>
      </c>
      <c r="AT85" s="6" t="str">
        <f>HYPERLINK("http://catalog.hathitrust.org/Record/007126645","HathiTrust Record")</f>
        <v>HathiTrust Record</v>
      </c>
      <c r="AU85" s="6" t="str">
        <f>HYPERLINK("https://creighton-primo.hosted.exlibrisgroup.com/primo-explore/search?tab=default_tab&amp;search_scope=EVERYTHING&amp;vid=01CRU&amp;lang=en_US&amp;offset=0&amp;query=any,contains,991000446769702656","Catalog Record")</f>
        <v>Catalog Record</v>
      </c>
      <c r="AV85" s="6" t="str">
        <f>HYPERLINK("http://www.worldcat.org/oclc/76741","WorldCat Record")</f>
        <v>WorldCat Record</v>
      </c>
      <c r="AW85" s="3" t="s">
        <v>1175</v>
      </c>
      <c r="AX85" s="3" t="s">
        <v>1176</v>
      </c>
      <c r="AY85" s="3" t="s">
        <v>1177</v>
      </c>
      <c r="AZ85" s="3" t="s">
        <v>1177</v>
      </c>
      <c r="BA85" s="3" t="s">
        <v>1178</v>
      </c>
      <c r="BB85" s="3" t="s">
        <v>77</v>
      </c>
      <c r="BE85" s="3" t="s">
        <v>1179</v>
      </c>
      <c r="BF85" s="3" t="s">
        <v>1180</v>
      </c>
    </row>
    <row r="86" spans="1:58" ht="36.75" customHeight="1" x14ac:dyDescent="0.25">
      <c r="A86" s="7" t="s">
        <v>62</v>
      </c>
      <c r="B86" s="2" t="s">
        <v>57</v>
      </c>
      <c r="C86" s="2" t="s">
        <v>58</v>
      </c>
      <c r="D86" s="2" t="s">
        <v>1181</v>
      </c>
      <c r="E86" s="2" t="s">
        <v>1182</v>
      </c>
      <c r="F86" s="2" t="s">
        <v>1183</v>
      </c>
      <c r="H86" s="3" t="s">
        <v>62</v>
      </c>
      <c r="I86" s="3" t="s">
        <v>63</v>
      </c>
      <c r="J86" s="3" t="s">
        <v>62</v>
      </c>
      <c r="K86" s="3" t="s">
        <v>62</v>
      </c>
      <c r="L86" s="3" t="s">
        <v>64</v>
      </c>
      <c r="M86" s="2" t="s">
        <v>1184</v>
      </c>
      <c r="N86" s="2" t="s">
        <v>1185</v>
      </c>
      <c r="O86" s="3" t="s">
        <v>767</v>
      </c>
      <c r="Q86" s="3" t="s">
        <v>68</v>
      </c>
      <c r="R86" s="3" t="s">
        <v>69</v>
      </c>
      <c r="S86" s="2" t="s">
        <v>1186</v>
      </c>
      <c r="T86" s="3" t="s">
        <v>70</v>
      </c>
      <c r="U86" s="4">
        <v>3</v>
      </c>
      <c r="V86" s="4">
        <v>3</v>
      </c>
      <c r="W86" s="5" t="s">
        <v>1187</v>
      </c>
      <c r="X86" s="5" t="s">
        <v>1187</v>
      </c>
      <c r="Y86" s="5" t="s">
        <v>1000</v>
      </c>
      <c r="Z86" s="5" t="s">
        <v>1000</v>
      </c>
      <c r="AA86" s="4">
        <v>261</v>
      </c>
      <c r="AB86" s="4">
        <v>222</v>
      </c>
      <c r="AC86" s="4">
        <v>951</v>
      </c>
      <c r="AD86" s="4">
        <v>1</v>
      </c>
      <c r="AE86" s="4">
        <v>9</v>
      </c>
      <c r="AF86" s="4">
        <v>9</v>
      </c>
      <c r="AG86" s="4">
        <v>46</v>
      </c>
      <c r="AH86" s="4">
        <v>3</v>
      </c>
      <c r="AI86" s="4">
        <v>21</v>
      </c>
      <c r="AJ86" s="4">
        <v>4</v>
      </c>
      <c r="AK86" s="4">
        <v>10</v>
      </c>
      <c r="AL86" s="4">
        <v>5</v>
      </c>
      <c r="AM86" s="4">
        <v>20</v>
      </c>
      <c r="AN86" s="4">
        <v>0</v>
      </c>
      <c r="AO86" s="4">
        <v>6</v>
      </c>
      <c r="AP86" s="4">
        <v>0</v>
      </c>
      <c r="AQ86" s="4">
        <v>0</v>
      </c>
      <c r="AR86" s="3" t="s">
        <v>62</v>
      </c>
      <c r="AS86" s="3" t="s">
        <v>84</v>
      </c>
      <c r="AT86" s="6" t="str">
        <f>HYPERLINK("http://catalog.hathitrust.org/Record/102072300","HathiTrust Record")</f>
        <v>HathiTrust Record</v>
      </c>
      <c r="AU86" s="6" t="str">
        <f>HYPERLINK("https://creighton-primo.hosted.exlibrisgroup.com/primo-explore/search?tab=default_tab&amp;search_scope=EVERYTHING&amp;vid=01CRU&amp;lang=en_US&amp;offset=0&amp;query=any,contains,991002877719702656","Catalog Record")</f>
        <v>Catalog Record</v>
      </c>
      <c r="AV86" s="6" t="str">
        <f>HYPERLINK("http://www.worldcat.org/oclc/5199809","WorldCat Record")</f>
        <v>WorldCat Record</v>
      </c>
      <c r="AW86" s="3" t="s">
        <v>1188</v>
      </c>
      <c r="AX86" s="3" t="s">
        <v>1189</v>
      </c>
      <c r="AY86" s="3" t="s">
        <v>1190</v>
      </c>
      <c r="AZ86" s="3" t="s">
        <v>1190</v>
      </c>
      <c r="BA86" s="3" t="s">
        <v>1191</v>
      </c>
      <c r="BB86" s="3" t="s">
        <v>77</v>
      </c>
      <c r="BE86" s="3" t="s">
        <v>1192</v>
      </c>
      <c r="BF86" s="3" t="s">
        <v>1193</v>
      </c>
    </row>
    <row r="87" spans="1:58" ht="36.75" customHeight="1" x14ac:dyDescent="0.25">
      <c r="A87" s="7" t="s">
        <v>62</v>
      </c>
      <c r="B87" s="2" t="s">
        <v>57</v>
      </c>
      <c r="C87" s="2" t="s">
        <v>58</v>
      </c>
      <c r="D87" s="2" t="s">
        <v>1194</v>
      </c>
      <c r="E87" s="2" t="s">
        <v>1195</v>
      </c>
      <c r="F87" s="2" t="s">
        <v>1196</v>
      </c>
      <c r="H87" s="3" t="s">
        <v>62</v>
      </c>
      <c r="I87" s="3" t="s">
        <v>63</v>
      </c>
      <c r="J87" s="3" t="s">
        <v>62</v>
      </c>
      <c r="K87" s="3" t="s">
        <v>62</v>
      </c>
      <c r="L87" s="3" t="s">
        <v>64</v>
      </c>
      <c r="M87" s="2" t="s">
        <v>1197</v>
      </c>
      <c r="N87" s="2" t="s">
        <v>1198</v>
      </c>
      <c r="O87" s="3" t="s">
        <v>176</v>
      </c>
      <c r="Q87" s="3" t="s">
        <v>68</v>
      </c>
      <c r="R87" s="3" t="s">
        <v>87</v>
      </c>
      <c r="T87" s="3" t="s">
        <v>70</v>
      </c>
      <c r="U87" s="4">
        <v>4</v>
      </c>
      <c r="V87" s="4">
        <v>4</v>
      </c>
      <c r="W87" s="5" t="s">
        <v>1174</v>
      </c>
      <c r="X87" s="5" t="s">
        <v>1174</v>
      </c>
      <c r="Y87" s="5" t="s">
        <v>1000</v>
      </c>
      <c r="Z87" s="5" t="s">
        <v>1000</v>
      </c>
      <c r="AA87" s="4">
        <v>1363</v>
      </c>
      <c r="AB87" s="4">
        <v>1245</v>
      </c>
      <c r="AC87" s="4">
        <v>1631</v>
      </c>
      <c r="AD87" s="4">
        <v>11</v>
      </c>
      <c r="AE87" s="4">
        <v>12</v>
      </c>
      <c r="AF87" s="4">
        <v>49</v>
      </c>
      <c r="AG87" s="4">
        <v>54</v>
      </c>
      <c r="AH87" s="4">
        <v>19</v>
      </c>
      <c r="AI87" s="4">
        <v>23</v>
      </c>
      <c r="AJ87" s="4">
        <v>9</v>
      </c>
      <c r="AK87" s="4">
        <v>9</v>
      </c>
      <c r="AL87" s="4">
        <v>22</v>
      </c>
      <c r="AM87" s="4">
        <v>24</v>
      </c>
      <c r="AN87" s="4">
        <v>7</v>
      </c>
      <c r="AO87" s="4">
        <v>7</v>
      </c>
      <c r="AP87" s="4">
        <v>2</v>
      </c>
      <c r="AQ87" s="4">
        <v>2</v>
      </c>
      <c r="AR87" s="3" t="s">
        <v>62</v>
      </c>
      <c r="AS87" s="3" t="s">
        <v>84</v>
      </c>
      <c r="AT87" s="6" t="str">
        <f>HYPERLINK("http://catalog.hathitrust.org/Record/000686021","HathiTrust Record")</f>
        <v>HathiTrust Record</v>
      </c>
      <c r="AU87" s="6" t="str">
        <f>HYPERLINK("https://creighton-primo.hosted.exlibrisgroup.com/primo-explore/search?tab=default_tab&amp;search_scope=EVERYTHING&amp;vid=01CRU&amp;lang=en_US&amp;offset=0&amp;query=any,contains,991003962279702656","Catalog Record")</f>
        <v>Catalog Record</v>
      </c>
      <c r="AV87" s="6" t="str">
        <f>HYPERLINK("http://www.worldcat.org/oclc/1975959","WorldCat Record")</f>
        <v>WorldCat Record</v>
      </c>
      <c r="AW87" s="3" t="s">
        <v>1199</v>
      </c>
      <c r="AX87" s="3" t="s">
        <v>1200</v>
      </c>
      <c r="AY87" s="3" t="s">
        <v>1201</v>
      </c>
      <c r="AZ87" s="3" t="s">
        <v>1201</v>
      </c>
      <c r="BA87" s="3" t="s">
        <v>1202</v>
      </c>
      <c r="BB87" s="3" t="s">
        <v>77</v>
      </c>
      <c r="BD87" s="3" t="s">
        <v>1203</v>
      </c>
      <c r="BE87" s="3" t="s">
        <v>1204</v>
      </c>
      <c r="BF87" s="3" t="s">
        <v>1205</v>
      </c>
    </row>
    <row r="88" spans="1:58" ht="36.75" customHeight="1" x14ac:dyDescent="0.25">
      <c r="A88" s="7" t="s">
        <v>62</v>
      </c>
      <c r="B88" s="2" t="s">
        <v>57</v>
      </c>
      <c r="C88" s="2" t="s">
        <v>58</v>
      </c>
      <c r="D88" s="2" t="s">
        <v>1206</v>
      </c>
      <c r="E88" s="2" t="s">
        <v>1207</v>
      </c>
      <c r="F88" s="2" t="s">
        <v>1208</v>
      </c>
      <c r="H88" s="3" t="s">
        <v>62</v>
      </c>
      <c r="I88" s="3" t="s">
        <v>63</v>
      </c>
      <c r="J88" s="3" t="s">
        <v>62</v>
      </c>
      <c r="K88" s="3" t="s">
        <v>62</v>
      </c>
      <c r="L88" s="3" t="s">
        <v>64</v>
      </c>
      <c r="M88" s="2" t="s">
        <v>1209</v>
      </c>
      <c r="N88" s="2" t="s">
        <v>1210</v>
      </c>
      <c r="O88" s="3" t="s">
        <v>1211</v>
      </c>
      <c r="Q88" s="3" t="s">
        <v>68</v>
      </c>
      <c r="R88" s="3" t="s">
        <v>87</v>
      </c>
      <c r="T88" s="3" t="s">
        <v>70</v>
      </c>
      <c r="U88" s="4">
        <v>2</v>
      </c>
      <c r="V88" s="4">
        <v>2</v>
      </c>
      <c r="W88" s="5" t="s">
        <v>1212</v>
      </c>
      <c r="X88" s="5" t="s">
        <v>1212</v>
      </c>
      <c r="Y88" s="5" t="s">
        <v>1213</v>
      </c>
      <c r="Z88" s="5" t="s">
        <v>1213</v>
      </c>
      <c r="AA88" s="4">
        <v>693</v>
      </c>
      <c r="AB88" s="4">
        <v>672</v>
      </c>
      <c r="AC88" s="4">
        <v>1532</v>
      </c>
      <c r="AD88" s="4">
        <v>5</v>
      </c>
      <c r="AE88" s="4">
        <v>10</v>
      </c>
      <c r="AF88" s="4">
        <v>21</v>
      </c>
      <c r="AG88" s="4">
        <v>45</v>
      </c>
      <c r="AH88" s="4">
        <v>5</v>
      </c>
      <c r="AI88" s="4">
        <v>17</v>
      </c>
      <c r="AJ88" s="4">
        <v>5</v>
      </c>
      <c r="AK88" s="4">
        <v>9</v>
      </c>
      <c r="AL88" s="4">
        <v>12</v>
      </c>
      <c r="AM88" s="4">
        <v>25</v>
      </c>
      <c r="AN88" s="4">
        <v>3</v>
      </c>
      <c r="AO88" s="4">
        <v>5</v>
      </c>
      <c r="AP88" s="4">
        <v>0</v>
      </c>
      <c r="AQ88" s="4">
        <v>1</v>
      </c>
      <c r="AR88" s="3" t="s">
        <v>62</v>
      </c>
      <c r="AS88" s="3" t="s">
        <v>62</v>
      </c>
      <c r="AU88" s="6" t="str">
        <f>HYPERLINK("https://creighton-primo.hosted.exlibrisgroup.com/primo-explore/search?tab=default_tab&amp;search_scope=EVERYTHING&amp;vid=01CRU&amp;lang=en_US&amp;offset=0&amp;query=any,contains,991004481389702656","Catalog Record")</f>
        <v>Catalog Record</v>
      </c>
      <c r="AV88" s="6" t="str">
        <f>HYPERLINK("http://www.worldcat.org/oclc/565407","WorldCat Record")</f>
        <v>WorldCat Record</v>
      </c>
      <c r="AW88" s="3" t="s">
        <v>1214</v>
      </c>
      <c r="AX88" s="3" t="s">
        <v>1215</v>
      </c>
      <c r="AY88" s="3" t="s">
        <v>1216</v>
      </c>
      <c r="AZ88" s="3" t="s">
        <v>1216</v>
      </c>
      <c r="BA88" s="3" t="s">
        <v>1217</v>
      </c>
      <c r="BB88" s="3" t="s">
        <v>77</v>
      </c>
      <c r="BE88" s="3" t="s">
        <v>1218</v>
      </c>
      <c r="BF88" s="3" t="s">
        <v>1219</v>
      </c>
    </row>
    <row r="89" spans="1:58" ht="36.75" customHeight="1" x14ac:dyDescent="0.25">
      <c r="A89" s="7" t="s">
        <v>62</v>
      </c>
      <c r="B89" s="2" t="s">
        <v>57</v>
      </c>
      <c r="C89" s="2" t="s">
        <v>58</v>
      </c>
      <c r="D89" s="2" t="s">
        <v>1220</v>
      </c>
      <c r="E89" s="2" t="s">
        <v>1221</v>
      </c>
      <c r="F89" s="2" t="s">
        <v>1222</v>
      </c>
      <c r="H89" s="3" t="s">
        <v>62</v>
      </c>
      <c r="I89" s="3" t="s">
        <v>63</v>
      </c>
      <c r="J89" s="3" t="s">
        <v>62</v>
      </c>
      <c r="K89" s="3" t="s">
        <v>62</v>
      </c>
      <c r="L89" s="3" t="s">
        <v>64</v>
      </c>
      <c r="M89" s="2" t="s">
        <v>1223</v>
      </c>
      <c r="N89" s="2" t="s">
        <v>1224</v>
      </c>
      <c r="O89" s="3" t="s">
        <v>145</v>
      </c>
      <c r="Q89" s="3" t="s">
        <v>68</v>
      </c>
      <c r="R89" s="3" t="s">
        <v>203</v>
      </c>
      <c r="T89" s="3" t="s">
        <v>70</v>
      </c>
      <c r="U89" s="4">
        <v>1</v>
      </c>
      <c r="V89" s="4">
        <v>1</v>
      </c>
      <c r="W89" s="5" t="s">
        <v>1225</v>
      </c>
      <c r="X89" s="5" t="s">
        <v>1225</v>
      </c>
      <c r="Y89" s="5" t="s">
        <v>1226</v>
      </c>
      <c r="Z89" s="5" t="s">
        <v>1226</v>
      </c>
      <c r="AA89" s="4">
        <v>164</v>
      </c>
      <c r="AB89" s="4">
        <v>111</v>
      </c>
      <c r="AC89" s="4">
        <v>122</v>
      </c>
      <c r="AD89" s="4">
        <v>1</v>
      </c>
      <c r="AE89" s="4">
        <v>1</v>
      </c>
      <c r="AF89" s="4">
        <v>5</v>
      </c>
      <c r="AG89" s="4">
        <v>5</v>
      </c>
      <c r="AH89" s="4">
        <v>1</v>
      </c>
      <c r="AI89" s="4">
        <v>1</v>
      </c>
      <c r="AJ89" s="4">
        <v>2</v>
      </c>
      <c r="AK89" s="4">
        <v>2</v>
      </c>
      <c r="AL89" s="4">
        <v>4</v>
      </c>
      <c r="AM89" s="4">
        <v>4</v>
      </c>
      <c r="AN89" s="4">
        <v>0</v>
      </c>
      <c r="AO89" s="4">
        <v>0</v>
      </c>
      <c r="AP89" s="4">
        <v>0</v>
      </c>
      <c r="AQ89" s="4">
        <v>0</v>
      </c>
      <c r="AR89" s="3" t="s">
        <v>62</v>
      </c>
      <c r="AS89" s="3" t="s">
        <v>84</v>
      </c>
      <c r="AT89" s="6" t="str">
        <f>HYPERLINK("http://catalog.hathitrust.org/Record/002916354","HathiTrust Record")</f>
        <v>HathiTrust Record</v>
      </c>
      <c r="AU89" s="6" t="str">
        <f>HYPERLINK("https://creighton-primo.hosted.exlibrisgroup.com/primo-explore/search?tab=default_tab&amp;search_scope=EVERYTHING&amp;vid=01CRU&amp;lang=en_US&amp;offset=0&amp;query=any,contains,991002372879702656","Catalog Record")</f>
        <v>Catalog Record</v>
      </c>
      <c r="AV89" s="6" t="str">
        <f>HYPERLINK("http://www.worldcat.org/oclc/30881044","WorldCat Record")</f>
        <v>WorldCat Record</v>
      </c>
      <c r="AW89" s="3" t="s">
        <v>1227</v>
      </c>
      <c r="AX89" s="3" t="s">
        <v>1228</v>
      </c>
      <c r="AY89" s="3" t="s">
        <v>1229</v>
      </c>
      <c r="AZ89" s="3" t="s">
        <v>1229</v>
      </c>
      <c r="BA89" s="3" t="s">
        <v>1230</v>
      </c>
      <c r="BB89" s="3" t="s">
        <v>77</v>
      </c>
      <c r="BD89" s="3" t="s">
        <v>1231</v>
      </c>
      <c r="BE89" s="3" t="s">
        <v>1232</v>
      </c>
      <c r="BF89" s="3" t="s">
        <v>1233</v>
      </c>
    </row>
    <row r="90" spans="1:58" ht="36.75" customHeight="1" x14ac:dyDescent="0.25">
      <c r="A90" s="7" t="s">
        <v>62</v>
      </c>
      <c r="B90" s="2" t="s">
        <v>57</v>
      </c>
      <c r="C90" s="2" t="s">
        <v>58</v>
      </c>
      <c r="D90" s="2" t="s">
        <v>1234</v>
      </c>
      <c r="E90" s="2" t="s">
        <v>1235</v>
      </c>
      <c r="F90" s="2" t="s">
        <v>1236</v>
      </c>
      <c r="H90" s="3" t="s">
        <v>62</v>
      </c>
      <c r="I90" s="3" t="s">
        <v>63</v>
      </c>
      <c r="J90" s="3" t="s">
        <v>62</v>
      </c>
      <c r="K90" s="3" t="s">
        <v>62</v>
      </c>
      <c r="L90" s="3" t="s">
        <v>64</v>
      </c>
      <c r="M90" s="2" t="s">
        <v>1237</v>
      </c>
      <c r="N90" s="2" t="s">
        <v>1238</v>
      </c>
      <c r="O90" s="3" t="s">
        <v>1239</v>
      </c>
      <c r="Q90" s="3" t="s">
        <v>68</v>
      </c>
      <c r="R90" s="3" t="s">
        <v>87</v>
      </c>
      <c r="T90" s="3" t="s">
        <v>70</v>
      </c>
      <c r="U90" s="4">
        <v>15</v>
      </c>
      <c r="V90" s="4">
        <v>15</v>
      </c>
      <c r="W90" s="5" t="s">
        <v>133</v>
      </c>
      <c r="X90" s="5" t="s">
        <v>133</v>
      </c>
      <c r="Y90" s="5" t="s">
        <v>1240</v>
      </c>
      <c r="Z90" s="5" t="s">
        <v>1240</v>
      </c>
      <c r="AA90" s="4">
        <v>227</v>
      </c>
      <c r="AB90" s="4">
        <v>216</v>
      </c>
      <c r="AC90" s="4">
        <v>345</v>
      </c>
      <c r="AD90" s="4">
        <v>2</v>
      </c>
      <c r="AE90" s="4">
        <v>3</v>
      </c>
      <c r="AF90" s="4">
        <v>8</v>
      </c>
      <c r="AG90" s="4">
        <v>16</v>
      </c>
      <c r="AH90" s="4">
        <v>3</v>
      </c>
      <c r="AI90" s="4">
        <v>6</v>
      </c>
      <c r="AJ90" s="4">
        <v>3</v>
      </c>
      <c r="AK90" s="4">
        <v>3</v>
      </c>
      <c r="AL90" s="4">
        <v>5</v>
      </c>
      <c r="AM90" s="4">
        <v>9</v>
      </c>
      <c r="AN90" s="4">
        <v>0</v>
      </c>
      <c r="AO90" s="4">
        <v>1</v>
      </c>
      <c r="AP90" s="4">
        <v>0</v>
      </c>
      <c r="AQ90" s="4">
        <v>0</v>
      </c>
      <c r="AR90" s="3" t="s">
        <v>62</v>
      </c>
      <c r="AS90" s="3" t="s">
        <v>84</v>
      </c>
      <c r="AT90" s="6" t="str">
        <f>HYPERLINK("http://catalog.hathitrust.org/Record/012262734","HathiTrust Record")</f>
        <v>HathiTrust Record</v>
      </c>
      <c r="AU90" s="6" t="str">
        <f>HYPERLINK("https://creighton-primo.hosted.exlibrisgroup.com/primo-explore/search?tab=default_tab&amp;search_scope=EVERYTHING&amp;vid=01CRU&amp;lang=en_US&amp;offset=0&amp;query=any,contains,991004554829702656","Catalog Record")</f>
        <v>Catalog Record</v>
      </c>
      <c r="AV90" s="6" t="str">
        <f>HYPERLINK("http://www.worldcat.org/oclc/3963807","WorldCat Record")</f>
        <v>WorldCat Record</v>
      </c>
      <c r="AW90" s="3" t="s">
        <v>1241</v>
      </c>
      <c r="AX90" s="3" t="s">
        <v>1242</v>
      </c>
      <c r="AY90" s="3" t="s">
        <v>1243</v>
      </c>
      <c r="AZ90" s="3" t="s">
        <v>1243</v>
      </c>
      <c r="BA90" s="3" t="s">
        <v>1244</v>
      </c>
      <c r="BB90" s="3" t="s">
        <v>77</v>
      </c>
      <c r="BE90" s="3" t="s">
        <v>1245</v>
      </c>
      <c r="BF90" s="3" t="s">
        <v>1246</v>
      </c>
    </row>
    <row r="91" spans="1:58" ht="36.75" customHeight="1" x14ac:dyDescent="0.25">
      <c r="A91" s="7" t="s">
        <v>62</v>
      </c>
      <c r="B91" s="2" t="s">
        <v>57</v>
      </c>
      <c r="C91" s="2" t="s">
        <v>58</v>
      </c>
      <c r="D91" s="2" t="s">
        <v>1247</v>
      </c>
      <c r="E91" s="2" t="s">
        <v>1248</v>
      </c>
      <c r="F91" s="2" t="s">
        <v>1249</v>
      </c>
      <c r="H91" s="3" t="s">
        <v>62</v>
      </c>
      <c r="I91" s="3" t="s">
        <v>63</v>
      </c>
      <c r="J91" s="3" t="s">
        <v>62</v>
      </c>
      <c r="K91" s="3" t="s">
        <v>62</v>
      </c>
      <c r="L91" s="3" t="s">
        <v>64</v>
      </c>
      <c r="M91" s="2" t="s">
        <v>103</v>
      </c>
      <c r="N91" s="2" t="s">
        <v>1250</v>
      </c>
      <c r="O91" s="3" t="s">
        <v>1012</v>
      </c>
      <c r="Q91" s="3" t="s">
        <v>68</v>
      </c>
      <c r="R91" s="3" t="s">
        <v>573</v>
      </c>
      <c r="T91" s="3" t="s">
        <v>70</v>
      </c>
      <c r="U91" s="4">
        <v>2</v>
      </c>
      <c r="V91" s="4">
        <v>2</v>
      </c>
      <c r="W91" s="5" t="s">
        <v>1251</v>
      </c>
      <c r="X91" s="5" t="s">
        <v>1251</v>
      </c>
      <c r="Y91" s="5" t="s">
        <v>1252</v>
      </c>
      <c r="Z91" s="5" t="s">
        <v>1252</v>
      </c>
      <c r="AA91" s="4">
        <v>572</v>
      </c>
      <c r="AB91" s="4">
        <v>495</v>
      </c>
      <c r="AC91" s="4">
        <v>529</v>
      </c>
      <c r="AD91" s="4">
        <v>6</v>
      </c>
      <c r="AE91" s="4">
        <v>6</v>
      </c>
      <c r="AF91" s="4">
        <v>30</v>
      </c>
      <c r="AG91" s="4">
        <v>31</v>
      </c>
      <c r="AH91" s="4">
        <v>11</v>
      </c>
      <c r="AI91" s="4">
        <v>11</v>
      </c>
      <c r="AJ91" s="4">
        <v>5</v>
      </c>
      <c r="AK91" s="4">
        <v>5</v>
      </c>
      <c r="AL91" s="4">
        <v>15</v>
      </c>
      <c r="AM91" s="4">
        <v>16</v>
      </c>
      <c r="AN91" s="4">
        <v>4</v>
      </c>
      <c r="AO91" s="4">
        <v>4</v>
      </c>
      <c r="AP91" s="4">
        <v>0</v>
      </c>
      <c r="AQ91" s="4">
        <v>0</v>
      </c>
      <c r="AR91" s="3" t="s">
        <v>62</v>
      </c>
      <c r="AS91" s="3" t="s">
        <v>84</v>
      </c>
      <c r="AT91" s="6" t="str">
        <f>HYPERLINK("http://catalog.hathitrust.org/Record/001096788","HathiTrust Record")</f>
        <v>HathiTrust Record</v>
      </c>
      <c r="AU91" s="6" t="str">
        <f>HYPERLINK("https://creighton-primo.hosted.exlibrisgroup.com/primo-explore/search?tab=default_tab&amp;search_scope=EVERYTHING&amp;vid=01CRU&amp;lang=en_US&amp;offset=0&amp;query=any,contains,991001388499702656","Catalog Record")</f>
        <v>Catalog Record</v>
      </c>
      <c r="AV91" s="6" t="str">
        <f>HYPERLINK("http://www.worldcat.org/oclc/18741083","WorldCat Record")</f>
        <v>WorldCat Record</v>
      </c>
      <c r="AW91" s="3" t="s">
        <v>1253</v>
      </c>
      <c r="AX91" s="3" t="s">
        <v>1254</v>
      </c>
      <c r="AY91" s="3" t="s">
        <v>1255</v>
      </c>
      <c r="AZ91" s="3" t="s">
        <v>1255</v>
      </c>
      <c r="BA91" s="3" t="s">
        <v>1256</v>
      </c>
      <c r="BB91" s="3" t="s">
        <v>77</v>
      </c>
      <c r="BD91" s="3" t="s">
        <v>1257</v>
      </c>
      <c r="BE91" s="3" t="s">
        <v>1258</v>
      </c>
      <c r="BF91" s="3" t="s">
        <v>1259</v>
      </c>
    </row>
    <row r="92" spans="1:58" ht="36.75" customHeight="1" x14ac:dyDescent="0.25">
      <c r="A92" s="7" t="s">
        <v>62</v>
      </c>
      <c r="B92" s="2" t="s">
        <v>57</v>
      </c>
      <c r="C92" s="2" t="s">
        <v>58</v>
      </c>
      <c r="D92" s="2" t="s">
        <v>1260</v>
      </c>
      <c r="E92" s="2" t="s">
        <v>1261</v>
      </c>
      <c r="F92" s="2" t="s">
        <v>1262</v>
      </c>
      <c r="H92" s="3" t="s">
        <v>62</v>
      </c>
      <c r="I92" s="3" t="s">
        <v>63</v>
      </c>
      <c r="J92" s="3" t="s">
        <v>62</v>
      </c>
      <c r="K92" s="3" t="s">
        <v>62</v>
      </c>
      <c r="L92" s="3" t="s">
        <v>64</v>
      </c>
      <c r="M92" s="2" t="s">
        <v>103</v>
      </c>
      <c r="N92" s="2" t="s">
        <v>1263</v>
      </c>
      <c r="O92" s="3" t="s">
        <v>105</v>
      </c>
      <c r="Q92" s="3" t="s">
        <v>68</v>
      </c>
      <c r="R92" s="3" t="s">
        <v>912</v>
      </c>
      <c r="T92" s="3" t="s">
        <v>70</v>
      </c>
      <c r="U92" s="4">
        <v>5</v>
      </c>
      <c r="V92" s="4">
        <v>5</v>
      </c>
      <c r="W92" s="5" t="s">
        <v>1187</v>
      </c>
      <c r="X92" s="5" t="s">
        <v>1187</v>
      </c>
      <c r="Y92" s="5" t="s">
        <v>1264</v>
      </c>
      <c r="Z92" s="5" t="s">
        <v>1264</v>
      </c>
      <c r="AA92" s="4">
        <v>496</v>
      </c>
      <c r="AB92" s="4">
        <v>411</v>
      </c>
      <c r="AC92" s="4">
        <v>440</v>
      </c>
      <c r="AD92" s="4">
        <v>5</v>
      </c>
      <c r="AE92" s="4">
        <v>5</v>
      </c>
      <c r="AF92" s="4">
        <v>24</v>
      </c>
      <c r="AG92" s="4">
        <v>25</v>
      </c>
      <c r="AH92" s="4">
        <v>10</v>
      </c>
      <c r="AI92" s="4">
        <v>10</v>
      </c>
      <c r="AJ92" s="4">
        <v>4</v>
      </c>
      <c r="AK92" s="4">
        <v>5</v>
      </c>
      <c r="AL92" s="4">
        <v>13</v>
      </c>
      <c r="AM92" s="4">
        <v>13</v>
      </c>
      <c r="AN92" s="4">
        <v>3</v>
      </c>
      <c r="AO92" s="4">
        <v>3</v>
      </c>
      <c r="AP92" s="4">
        <v>0</v>
      </c>
      <c r="AQ92" s="4">
        <v>0</v>
      </c>
      <c r="AR92" s="3" t="s">
        <v>62</v>
      </c>
      <c r="AS92" s="3" t="s">
        <v>84</v>
      </c>
      <c r="AT92" s="6" t="str">
        <f>HYPERLINK("http://catalog.hathitrust.org/Record/102095335","HathiTrust Record")</f>
        <v>HathiTrust Record</v>
      </c>
      <c r="AU92" s="6" t="str">
        <f>HYPERLINK("https://creighton-primo.hosted.exlibrisgroup.com/primo-explore/search?tab=default_tab&amp;search_scope=EVERYTHING&amp;vid=01CRU&amp;lang=en_US&amp;offset=0&amp;query=any,contains,991001100219702656","Catalog Record")</f>
        <v>Catalog Record</v>
      </c>
      <c r="AV92" s="6" t="str">
        <f>HYPERLINK("http://www.worldcat.org/oclc/16352116","WorldCat Record")</f>
        <v>WorldCat Record</v>
      </c>
      <c r="AW92" s="3" t="s">
        <v>1265</v>
      </c>
      <c r="AX92" s="3" t="s">
        <v>1266</v>
      </c>
      <c r="AY92" s="3" t="s">
        <v>1267</v>
      </c>
      <c r="AZ92" s="3" t="s">
        <v>1267</v>
      </c>
      <c r="BA92" s="3" t="s">
        <v>1268</v>
      </c>
      <c r="BB92" s="3" t="s">
        <v>77</v>
      </c>
      <c r="BD92" s="3" t="s">
        <v>1269</v>
      </c>
      <c r="BE92" s="3" t="s">
        <v>1270</v>
      </c>
      <c r="BF92" s="3" t="s">
        <v>1271</v>
      </c>
    </row>
    <row r="93" spans="1:58" ht="36.75" customHeight="1" x14ac:dyDescent="0.25">
      <c r="A93" s="7" t="s">
        <v>62</v>
      </c>
      <c r="B93" s="2" t="s">
        <v>57</v>
      </c>
      <c r="C93" s="2" t="s">
        <v>58</v>
      </c>
      <c r="D93" s="2" t="s">
        <v>1272</v>
      </c>
      <c r="E93" s="2" t="s">
        <v>1273</v>
      </c>
      <c r="F93" s="2" t="s">
        <v>1274</v>
      </c>
      <c r="H93" s="3" t="s">
        <v>62</v>
      </c>
      <c r="I93" s="3" t="s">
        <v>63</v>
      </c>
      <c r="J93" s="3" t="s">
        <v>62</v>
      </c>
      <c r="K93" s="3" t="s">
        <v>62</v>
      </c>
      <c r="L93" s="3" t="s">
        <v>64</v>
      </c>
      <c r="M93" s="2" t="s">
        <v>103</v>
      </c>
      <c r="N93" s="2" t="s">
        <v>1275</v>
      </c>
      <c r="O93" s="3" t="s">
        <v>276</v>
      </c>
      <c r="Q93" s="3" t="s">
        <v>68</v>
      </c>
      <c r="R93" s="3" t="s">
        <v>587</v>
      </c>
      <c r="S93" s="2" t="s">
        <v>1276</v>
      </c>
      <c r="T93" s="3" t="s">
        <v>70</v>
      </c>
      <c r="U93" s="4">
        <v>3</v>
      </c>
      <c r="V93" s="4">
        <v>3</v>
      </c>
      <c r="W93" s="5" t="s">
        <v>1187</v>
      </c>
      <c r="X93" s="5" t="s">
        <v>1187</v>
      </c>
      <c r="Y93" s="5" t="s">
        <v>1264</v>
      </c>
      <c r="Z93" s="5" t="s">
        <v>1264</v>
      </c>
      <c r="AA93" s="4">
        <v>214</v>
      </c>
      <c r="AB93" s="4">
        <v>161</v>
      </c>
      <c r="AC93" s="4">
        <v>163</v>
      </c>
      <c r="AD93" s="4">
        <v>1</v>
      </c>
      <c r="AE93" s="4">
        <v>1</v>
      </c>
      <c r="AF93" s="4">
        <v>8</v>
      </c>
      <c r="AG93" s="4">
        <v>8</v>
      </c>
      <c r="AH93" s="4">
        <v>1</v>
      </c>
      <c r="AI93" s="4">
        <v>1</v>
      </c>
      <c r="AJ93" s="4">
        <v>3</v>
      </c>
      <c r="AK93" s="4">
        <v>3</v>
      </c>
      <c r="AL93" s="4">
        <v>6</v>
      </c>
      <c r="AM93" s="4">
        <v>6</v>
      </c>
      <c r="AN93" s="4">
        <v>0</v>
      </c>
      <c r="AO93" s="4">
        <v>0</v>
      </c>
      <c r="AP93" s="4">
        <v>0</v>
      </c>
      <c r="AQ93" s="4">
        <v>0</v>
      </c>
      <c r="AR93" s="3" t="s">
        <v>62</v>
      </c>
      <c r="AS93" s="3" t="s">
        <v>84</v>
      </c>
      <c r="AT93" s="6" t="str">
        <f>HYPERLINK("http://catalog.hathitrust.org/Record/000436788","HathiTrust Record")</f>
        <v>HathiTrust Record</v>
      </c>
      <c r="AU93" s="6" t="str">
        <f>HYPERLINK("https://creighton-primo.hosted.exlibrisgroup.com/primo-explore/search?tab=default_tab&amp;search_scope=EVERYTHING&amp;vid=01CRU&amp;lang=en_US&amp;offset=0&amp;query=any,contains,991000745769702656","Catalog Record")</f>
        <v>Catalog Record</v>
      </c>
      <c r="AV93" s="6" t="str">
        <f>HYPERLINK("http://www.worldcat.org/oclc/12840140","WorldCat Record")</f>
        <v>WorldCat Record</v>
      </c>
      <c r="AW93" s="3" t="s">
        <v>1277</v>
      </c>
      <c r="AX93" s="3" t="s">
        <v>1278</v>
      </c>
      <c r="AY93" s="3" t="s">
        <v>1279</v>
      </c>
      <c r="AZ93" s="3" t="s">
        <v>1279</v>
      </c>
      <c r="BA93" s="3" t="s">
        <v>1280</v>
      </c>
      <c r="BB93" s="3" t="s">
        <v>77</v>
      </c>
      <c r="BD93" s="3" t="s">
        <v>1281</v>
      </c>
      <c r="BE93" s="3" t="s">
        <v>1282</v>
      </c>
      <c r="BF93" s="3" t="s">
        <v>1283</v>
      </c>
    </row>
    <row r="94" spans="1:58" ht="36.75" customHeight="1" x14ac:dyDescent="0.25">
      <c r="A94" s="7" t="s">
        <v>62</v>
      </c>
      <c r="B94" s="2" t="s">
        <v>57</v>
      </c>
      <c r="C94" s="2" t="s">
        <v>58</v>
      </c>
      <c r="D94" s="2" t="s">
        <v>1284</v>
      </c>
      <c r="E94" s="2" t="s">
        <v>1285</v>
      </c>
      <c r="F94" s="2" t="s">
        <v>1286</v>
      </c>
      <c r="H94" s="3" t="s">
        <v>62</v>
      </c>
      <c r="I94" s="3" t="s">
        <v>63</v>
      </c>
      <c r="J94" s="3" t="s">
        <v>62</v>
      </c>
      <c r="K94" s="3" t="s">
        <v>62</v>
      </c>
      <c r="L94" s="3" t="s">
        <v>64</v>
      </c>
      <c r="M94" s="2" t="s">
        <v>1287</v>
      </c>
      <c r="N94" s="2" t="s">
        <v>1288</v>
      </c>
      <c r="O94" s="3" t="s">
        <v>498</v>
      </c>
      <c r="Q94" s="3" t="s">
        <v>68</v>
      </c>
      <c r="R94" s="3" t="s">
        <v>1289</v>
      </c>
      <c r="T94" s="3" t="s">
        <v>70</v>
      </c>
      <c r="U94" s="4">
        <v>0</v>
      </c>
      <c r="V94" s="4">
        <v>0</v>
      </c>
      <c r="W94" s="5" t="s">
        <v>1290</v>
      </c>
      <c r="X94" s="5" t="s">
        <v>1290</v>
      </c>
      <c r="Y94" s="5" t="s">
        <v>1264</v>
      </c>
      <c r="Z94" s="5" t="s">
        <v>1264</v>
      </c>
      <c r="AA94" s="4">
        <v>49</v>
      </c>
      <c r="AB94" s="4">
        <v>9</v>
      </c>
      <c r="AC94" s="4">
        <v>219</v>
      </c>
      <c r="AD94" s="4">
        <v>1</v>
      </c>
      <c r="AE94" s="4">
        <v>1</v>
      </c>
      <c r="AF94" s="4">
        <v>0</v>
      </c>
      <c r="AG94" s="4">
        <v>10</v>
      </c>
      <c r="AH94" s="4">
        <v>0</v>
      </c>
      <c r="AI94" s="4">
        <v>7</v>
      </c>
      <c r="AJ94" s="4">
        <v>0</v>
      </c>
      <c r="AK94" s="4">
        <v>4</v>
      </c>
      <c r="AL94" s="4">
        <v>0</v>
      </c>
      <c r="AM94" s="4">
        <v>4</v>
      </c>
      <c r="AN94" s="4">
        <v>0</v>
      </c>
      <c r="AO94" s="4">
        <v>0</v>
      </c>
      <c r="AP94" s="4">
        <v>0</v>
      </c>
      <c r="AQ94" s="4">
        <v>0</v>
      </c>
      <c r="AR94" s="3" t="s">
        <v>62</v>
      </c>
      <c r="AS94" s="3" t="s">
        <v>62</v>
      </c>
      <c r="AU94" s="6" t="str">
        <f>HYPERLINK("https://creighton-primo.hosted.exlibrisgroup.com/primo-explore/search?tab=default_tab&amp;search_scope=EVERYTHING&amp;vid=01CRU&amp;lang=en_US&amp;offset=0&amp;query=any,contains,991004097519702656","Catalog Record")</f>
        <v>Catalog Record</v>
      </c>
      <c r="AV94" s="6" t="str">
        <f>HYPERLINK("http://www.worldcat.org/oclc/2363077","WorldCat Record")</f>
        <v>WorldCat Record</v>
      </c>
      <c r="AW94" s="3" t="s">
        <v>1291</v>
      </c>
      <c r="AX94" s="3" t="s">
        <v>1292</v>
      </c>
      <c r="AY94" s="3" t="s">
        <v>1293</v>
      </c>
      <c r="AZ94" s="3" t="s">
        <v>1293</v>
      </c>
      <c r="BA94" s="3" t="s">
        <v>1294</v>
      </c>
      <c r="BB94" s="3" t="s">
        <v>77</v>
      </c>
      <c r="BE94" s="3" t="s">
        <v>1295</v>
      </c>
      <c r="BF94" s="3" t="s">
        <v>1296</v>
      </c>
    </row>
    <row r="95" spans="1:58" ht="36.75" customHeight="1" x14ac:dyDescent="0.25">
      <c r="A95" s="7" t="s">
        <v>62</v>
      </c>
      <c r="B95" s="2" t="s">
        <v>57</v>
      </c>
      <c r="C95" s="2" t="s">
        <v>58</v>
      </c>
      <c r="D95" s="2" t="s">
        <v>1297</v>
      </c>
      <c r="E95" s="2" t="s">
        <v>1298</v>
      </c>
      <c r="F95" s="2" t="s">
        <v>1299</v>
      </c>
      <c r="H95" s="3" t="s">
        <v>62</v>
      </c>
      <c r="I95" s="3" t="s">
        <v>63</v>
      </c>
      <c r="J95" s="3" t="s">
        <v>62</v>
      </c>
      <c r="K95" s="3" t="s">
        <v>62</v>
      </c>
      <c r="L95" s="3" t="s">
        <v>64</v>
      </c>
      <c r="M95" s="2" t="s">
        <v>1300</v>
      </c>
      <c r="N95" s="2" t="s">
        <v>1301</v>
      </c>
      <c r="O95" s="3" t="s">
        <v>276</v>
      </c>
      <c r="Q95" s="3" t="s">
        <v>68</v>
      </c>
      <c r="R95" s="3" t="s">
        <v>372</v>
      </c>
      <c r="S95" s="2" t="s">
        <v>1302</v>
      </c>
      <c r="T95" s="3" t="s">
        <v>70</v>
      </c>
      <c r="U95" s="4">
        <v>1</v>
      </c>
      <c r="V95" s="4">
        <v>1</v>
      </c>
      <c r="W95" s="5" t="s">
        <v>1303</v>
      </c>
      <c r="X95" s="5" t="s">
        <v>1303</v>
      </c>
      <c r="Y95" s="5" t="s">
        <v>1264</v>
      </c>
      <c r="Z95" s="5" t="s">
        <v>1264</v>
      </c>
      <c r="AA95" s="4">
        <v>394</v>
      </c>
      <c r="AB95" s="4">
        <v>310</v>
      </c>
      <c r="AC95" s="4">
        <v>315</v>
      </c>
      <c r="AD95" s="4">
        <v>2</v>
      </c>
      <c r="AE95" s="4">
        <v>2</v>
      </c>
      <c r="AF95" s="4">
        <v>21</v>
      </c>
      <c r="AG95" s="4">
        <v>21</v>
      </c>
      <c r="AH95" s="4">
        <v>8</v>
      </c>
      <c r="AI95" s="4">
        <v>8</v>
      </c>
      <c r="AJ95" s="4">
        <v>6</v>
      </c>
      <c r="AK95" s="4">
        <v>6</v>
      </c>
      <c r="AL95" s="4">
        <v>13</v>
      </c>
      <c r="AM95" s="4">
        <v>13</v>
      </c>
      <c r="AN95" s="4">
        <v>1</v>
      </c>
      <c r="AO95" s="4">
        <v>1</v>
      </c>
      <c r="AP95" s="4">
        <v>0</v>
      </c>
      <c r="AQ95" s="4">
        <v>0</v>
      </c>
      <c r="AR95" s="3" t="s">
        <v>62</v>
      </c>
      <c r="AS95" s="3" t="s">
        <v>62</v>
      </c>
      <c r="AU95" s="6" t="str">
        <f>HYPERLINK("https://creighton-primo.hosted.exlibrisgroup.com/primo-explore/search?tab=default_tab&amp;search_scope=EVERYTHING&amp;vid=01CRU&amp;lang=en_US&amp;offset=0&amp;query=any,contains,991000763799702656","Catalog Record")</f>
        <v>Catalog Record</v>
      </c>
      <c r="AV95" s="6" t="str">
        <f>HYPERLINK("http://www.worldcat.org/oclc/12977365","WorldCat Record")</f>
        <v>WorldCat Record</v>
      </c>
      <c r="AW95" s="3" t="s">
        <v>1304</v>
      </c>
      <c r="AX95" s="3" t="s">
        <v>1305</v>
      </c>
      <c r="AY95" s="3" t="s">
        <v>1306</v>
      </c>
      <c r="AZ95" s="3" t="s">
        <v>1306</v>
      </c>
      <c r="BA95" s="3" t="s">
        <v>1307</v>
      </c>
      <c r="BB95" s="3" t="s">
        <v>77</v>
      </c>
      <c r="BD95" s="3" t="s">
        <v>1308</v>
      </c>
      <c r="BE95" s="3" t="s">
        <v>1309</v>
      </c>
      <c r="BF95" s="3" t="s">
        <v>1310</v>
      </c>
    </row>
    <row r="96" spans="1:58" ht="36.75" customHeight="1" x14ac:dyDescent="0.25">
      <c r="A96" s="7" t="s">
        <v>62</v>
      </c>
      <c r="B96" s="2" t="s">
        <v>57</v>
      </c>
      <c r="C96" s="2" t="s">
        <v>58</v>
      </c>
      <c r="D96" s="2" t="s">
        <v>1311</v>
      </c>
      <c r="E96" s="2" t="s">
        <v>1312</v>
      </c>
      <c r="F96" s="2" t="s">
        <v>1313</v>
      </c>
      <c r="H96" s="3" t="s">
        <v>62</v>
      </c>
      <c r="I96" s="3" t="s">
        <v>63</v>
      </c>
      <c r="J96" s="3" t="s">
        <v>62</v>
      </c>
      <c r="K96" s="3" t="s">
        <v>62</v>
      </c>
      <c r="L96" s="3" t="s">
        <v>64</v>
      </c>
      <c r="M96" s="2" t="s">
        <v>1314</v>
      </c>
      <c r="N96" s="2" t="s">
        <v>1315</v>
      </c>
      <c r="O96" s="3" t="s">
        <v>767</v>
      </c>
      <c r="P96" s="2" t="s">
        <v>1316</v>
      </c>
      <c r="Q96" s="3" t="s">
        <v>68</v>
      </c>
      <c r="R96" s="3" t="s">
        <v>69</v>
      </c>
      <c r="T96" s="3" t="s">
        <v>70</v>
      </c>
      <c r="U96" s="4">
        <v>7</v>
      </c>
      <c r="V96" s="4">
        <v>7</v>
      </c>
      <c r="W96" s="5" t="s">
        <v>1317</v>
      </c>
      <c r="X96" s="5" t="s">
        <v>1317</v>
      </c>
      <c r="Y96" s="5" t="s">
        <v>1264</v>
      </c>
      <c r="Z96" s="5" t="s">
        <v>1264</v>
      </c>
      <c r="AA96" s="4">
        <v>68</v>
      </c>
      <c r="AB96" s="4">
        <v>57</v>
      </c>
      <c r="AC96" s="4">
        <v>540</v>
      </c>
      <c r="AD96" s="4">
        <v>1</v>
      </c>
      <c r="AE96" s="4">
        <v>2</v>
      </c>
      <c r="AF96" s="4">
        <v>3</v>
      </c>
      <c r="AG96" s="4">
        <v>29</v>
      </c>
      <c r="AH96" s="4">
        <v>2</v>
      </c>
      <c r="AI96" s="4">
        <v>11</v>
      </c>
      <c r="AJ96" s="4">
        <v>0</v>
      </c>
      <c r="AK96" s="4">
        <v>6</v>
      </c>
      <c r="AL96" s="4">
        <v>2</v>
      </c>
      <c r="AM96" s="4">
        <v>20</v>
      </c>
      <c r="AN96" s="4">
        <v>0</v>
      </c>
      <c r="AO96" s="4">
        <v>1</v>
      </c>
      <c r="AP96" s="4">
        <v>0</v>
      </c>
      <c r="AQ96" s="4">
        <v>0</v>
      </c>
      <c r="AR96" s="3" t="s">
        <v>62</v>
      </c>
      <c r="AS96" s="3" t="s">
        <v>84</v>
      </c>
      <c r="AT96" s="6" t="str">
        <f>HYPERLINK("http://catalog.hathitrust.org/Record/011806563","HathiTrust Record")</f>
        <v>HathiTrust Record</v>
      </c>
      <c r="AU96" s="6" t="str">
        <f>HYPERLINK("https://creighton-primo.hosted.exlibrisgroup.com/primo-explore/search?tab=default_tab&amp;search_scope=EVERYTHING&amp;vid=01CRU&amp;lang=en_US&amp;offset=0&amp;query=any,contains,991001213709702656","Catalog Record")</f>
        <v>Catalog Record</v>
      </c>
      <c r="AV96" s="6" t="str">
        <f>HYPERLINK("http://www.worldcat.org/oclc/193340","WorldCat Record")</f>
        <v>WorldCat Record</v>
      </c>
      <c r="AW96" s="3" t="s">
        <v>1318</v>
      </c>
      <c r="AX96" s="3" t="s">
        <v>1319</v>
      </c>
      <c r="AY96" s="3" t="s">
        <v>1320</v>
      </c>
      <c r="AZ96" s="3" t="s">
        <v>1320</v>
      </c>
      <c r="BA96" s="3" t="s">
        <v>1321</v>
      </c>
      <c r="BB96" s="3" t="s">
        <v>77</v>
      </c>
      <c r="BE96" s="3" t="s">
        <v>1322</v>
      </c>
      <c r="BF96" s="3" t="s">
        <v>1323</v>
      </c>
    </row>
    <row r="97" spans="1:58" ht="36.75" customHeight="1" x14ac:dyDescent="0.25">
      <c r="A97" s="7" t="s">
        <v>62</v>
      </c>
      <c r="B97" s="2" t="s">
        <v>57</v>
      </c>
      <c r="C97" s="2" t="s">
        <v>58</v>
      </c>
      <c r="D97" s="2" t="s">
        <v>1324</v>
      </c>
      <c r="E97" s="2" t="s">
        <v>1325</v>
      </c>
      <c r="F97" s="2" t="s">
        <v>1326</v>
      </c>
      <c r="H97" s="3" t="s">
        <v>62</v>
      </c>
      <c r="I97" s="3" t="s">
        <v>63</v>
      </c>
      <c r="J97" s="3" t="s">
        <v>62</v>
      </c>
      <c r="K97" s="3" t="s">
        <v>62</v>
      </c>
      <c r="L97" s="3" t="s">
        <v>64</v>
      </c>
      <c r="M97" s="2" t="s">
        <v>1327</v>
      </c>
      <c r="N97" s="2" t="s">
        <v>1328</v>
      </c>
      <c r="O97" s="3" t="s">
        <v>1329</v>
      </c>
      <c r="Q97" s="3" t="s">
        <v>68</v>
      </c>
      <c r="R97" s="3" t="s">
        <v>912</v>
      </c>
      <c r="T97" s="3" t="s">
        <v>70</v>
      </c>
      <c r="U97" s="4">
        <v>3</v>
      </c>
      <c r="V97" s="4">
        <v>3</v>
      </c>
      <c r="W97" s="5" t="s">
        <v>1330</v>
      </c>
      <c r="X97" s="5" t="s">
        <v>1330</v>
      </c>
      <c r="Y97" s="5" t="s">
        <v>1331</v>
      </c>
      <c r="Z97" s="5" t="s">
        <v>1331</v>
      </c>
      <c r="AA97" s="4">
        <v>290</v>
      </c>
      <c r="AB97" s="4">
        <v>241</v>
      </c>
      <c r="AC97" s="4">
        <v>252</v>
      </c>
      <c r="AD97" s="4">
        <v>2</v>
      </c>
      <c r="AE97" s="4">
        <v>3</v>
      </c>
      <c r="AF97" s="4">
        <v>10</v>
      </c>
      <c r="AG97" s="4">
        <v>12</v>
      </c>
      <c r="AH97" s="4">
        <v>3</v>
      </c>
      <c r="AI97" s="4">
        <v>4</v>
      </c>
      <c r="AJ97" s="4">
        <v>2</v>
      </c>
      <c r="AK97" s="4">
        <v>3</v>
      </c>
      <c r="AL97" s="4">
        <v>6</v>
      </c>
      <c r="AM97" s="4">
        <v>6</v>
      </c>
      <c r="AN97" s="4">
        <v>1</v>
      </c>
      <c r="AO97" s="4">
        <v>2</v>
      </c>
      <c r="AP97" s="4">
        <v>0</v>
      </c>
      <c r="AQ97" s="4">
        <v>0</v>
      </c>
      <c r="AR97" s="3" t="s">
        <v>62</v>
      </c>
      <c r="AS97" s="3" t="s">
        <v>84</v>
      </c>
      <c r="AT97" s="6" t="str">
        <f>HYPERLINK("http://catalog.hathitrust.org/Record/002062720","HathiTrust Record")</f>
        <v>HathiTrust Record</v>
      </c>
      <c r="AU97" s="6" t="str">
        <f>HYPERLINK("https://creighton-primo.hosted.exlibrisgroup.com/primo-explore/search?tab=default_tab&amp;search_scope=EVERYTHING&amp;vid=01CRU&amp;lang=en_US&amp;offset=0&amp;query=any,contains,991001589579702656","Catalog Record")</f>
        <v>Catalog Record</v>
      </c>
      <c r="AV97" s="6" t="str">
        <f>HYPERLINK("http://www.worldcat.org/oclc/20564000","WorldCat Record")</f>
        <v>WorldCat Record</v>
      </c>
      <c r="AW97" s="3" t="s">
        <v>1332</v>
      </c>
      <c r="AX97" s="3" t="s">
        <v>1333</v>
      </c>
      <c r="AY97" s="3" t="s">
        <v>1334</v>
      </c>
      <c r="AZ97" s="3" t="s">
        <v>1334</v>
      </c>
      <c r="BA97" s="3" t="s">
        <v>1335</v>
      </c>
      <c r="BB97" s="3" t="s">
        <v>77</v>
      </c>
      <c r="BD97" s="3" t="s">
        <v>1336</v>
      </c>
      <c r="BE97" s="3" t="s">
        <v>1337</v>
      </c>
      <c r="BF97" s="3" t="s">
        <v>1338</v>
      </c>
    </row>
    <row r="98" spans="1:58" ht="36.75" customHeight="1" x14ac:dyDescent="0.25">
      <c r="A98" s="7" t="s">
        <v>62</v>
      </c>
      <c r="B98" s="2" t="s">
        <v>57</v>
      </c>
      <c r="C98" s="2" t="s">
        <v>58</v>
      </c>
      <c r="D98" s="2" t="s">
        <v>1339</v>
      </c>
      <c r="E98" s="2" t="s">
        <v>1340</v>
      </c>
      <c r="F98" s="2" t="s">
        <v>1341</v>
      </c>
      <c r="H98" s="3" t="s">
        <v>62</v>
      </c>
      <c r="I98" s="3" t="s">
        <v>63</v>
      </c>
      <c r="J98" s="3" t="s">
        <v>62</v>
      </c>
      <c r="K98" s="3" t="s">
        <v>62</v>
      </c>
      <c r="L98" s="3" t="s">
        <v>64</v>
      </c>
      <c r="M98" s="2" t="s">
        <v>1342</v>
      </c>
      <c r="N98" s="2" t="s">
        <v>1343</v>
      </c>
      <c r="O98" s="3" t="s">
        <v>1028</v>
      </c>
      <c r="Q98" s="3" t="s">
        <v>68</v>
      </c>
      <c r="R98" s="3" t="s">
        <v>441</v>
      </c>
      <c r="T98" s="3" t="s">
        <v>70</v>
      </c>
      <c r="U98" s="4">
        <v>1</v>
      </c>
      <c r="V98" s="4">
        <v>1</v>
      </c>
      <c r="W98" s="5" t="s">
        <v>1344</v>
      </c>
      <c r="X98" s="5" t="s">
        <v>1344</v>
      </c>
      <c r="Y98" s="5" t="s">
        <v>1264</v>
      </c>
      <c r="Z98" s="5" t="s">
        <v>1264</v>
      </c>
      <c r="AA98" s="4">
        <v>243</v>
      </c>
      <c r="AB98" s="4">
        <v>157</v>
      </c>
      <c r="AC98" s="4">
        <v>158</v>
      </c>
      <c r="AD98" s="4">
        <v>1</v>
      </c>
      <c r="AE98" s="4">
        <v>1</v>
      </c>
      <c r="AF98" s="4">
        <v>7</v>
      </c>
      <c r="AG98" s="4">
        <v>7</v>
      </c>
      <c r="AH98" s="4">
        <v>3</v>
      </c>
      <c r="AI98" s="4">
        <v>3</v>
      </c>
      <c r="AJ98" s="4">
        <v>3</v>
      </c>
      <c r="AK98" s="4">
        <v>3</v>
      </c>
      <c r="AL98" s="4">
        <v>3</v>
      </c>
      <c r="AM98" s="4">
        <v>3</v>
      </c>
      <c r="AN98" s="4">
        <v>0</v>
      </c>
      <c r="AO98" s="4">
        <v>0</v>
      </c>
      <c r="AP98" s="4">
        <v>0</v>
      </c>
      <c r="AQ98" s="4">
        <v>0</v>
      </c>
      <c r="AR98" s="3" t="s">
        <v>62</v>
      </c>
      <c r="AS98" s="3" t="s">
        <v>62</v>
      </c>
      <c r="AU98" s="6" t="str">
        <f>HYPERLINK("https://creighton-primo.hosted.exlibrisgroup.com/primo-explore/search?tab=default_tab&amp;search_scope=EVERYTHING&amp;vid=01CRU&amp;lang=en_US&amp;offset=0&amp;query=any,contains,991000040729702656","Catalog Record")</f>
        <v>Catalog Record</v>
      </c>
      <c r="AV98" s="6" t="str">
        <f>HYPERLINK("http://www.worldcat.org/oclc/8650863","WorldCat Record")</f>
        <v>WorldCat Record</v>
      </c>
      <c r="AW98" s="3" t="s">
        <v>1345</v>
      </c>
      <c r="AX98" s="3" t="s">
        <v>1346</v>
      </c>
      <c r="AY98" s="3" t="s">
        <v>1347</v>
      </c>
      <c r="AZ98" s="3" t="s">
        <v>1347</v>
      </c>
      <c r="BA98" s="3" t="s">
        <v>1348</v>
      </c>
      <c r="BB98" s="3" t="s">
        <v>77</v>
      </c>
      <c r="BD98" s="3" t="s">
        <v>1349</v>
      </c>
      <c r="BE98" s="3" t="s">
        <v>1350</v>
      </c>
      <c r="BF98" s="3" t="s">
        <v>1351</v>
      </c>
    </row>
    <row r="99" spans="1:58" ht="36.75" customHeight="1" x14ac:dyDescent="0.25">
      <c r="A99" s="7" t="s">
        <v>62</v>
      </c>
      <c r="B99" s="2" t="s">
        <v>57</v>
      </c>
      <c r="C99" s="2" t="s">
        <v>58</v>
      </c>
      <c r="D99" s="2" t="s">
        <v>1352</v>
      </c>
      <c r="E99" s="2" t="s">
        <v>1353</v>
      </c>
      <c r="F99" s="2" t="s">
        <v>1354</v>
      </c>
      <c r="H99" s="3" t="s">
        <v>84</v>
      </c>
      <c r="I99" s="3" t="s">
        <v>63</v>
      </c>
      <c r="J99" s="3" t="s">
        <v>62</v>
      </c>
      <c r="K99" s="3" t="s">
        <v>62</v>
      </c>
      <c r="L99" s="3" t="s">
        <v>64</v>
      </c>
      <c r="M99" s="2" t="s">
        <v>1355</v>
      </c>
      <c r="N99" s="2" t="s">
        <v>1356</v>
      </c>
      <c r="O99" s="3" t="s">
        <v>161</v>
      </c>
      <c r="Q99" s="3" t="s">
        <v>68</v>
      </c>
      <c r="R99" s="3" t="s">
        <v>441</v>
      </c>
      <c r="S99" s="2" t="s">
        <v>1357</v>
      </c>
      <c r="T99" s="3" t="s">
        <v>70</v>
      </c>
      <c r="U99" s="4">
        <v>1</v>
      </c>
      <c r="V99" s="4">
        <v>1</v>
      </c>
      <c r="W99" s="5" t="s">
        <v>1085</v>
      </c>
      <c r="X99" s="5" t="s">
        <v>1085</v>
      </c>
      <c r="Y99" s="5" t="s">
        <v>1264</v>
      </c>
      <c r="Z99" s="5" t="s">
        <v>1264</v>
      </c>
      <c r="AA99" s="4">
        <v>350</v>
      </c>
      <c r="AB99" s="4">
        <v>258</v>
      </c>
      <c r="AC99" s="4">
        <v>262</v>
      </c>
      <c r="AD99" s="4">
        <v>2</v>
      </c>
      <c r="AE99" s="4">
        <v>2</v>
      </c>
      <c r="AF99" s="4">
        <v>13</v>
      </c>
      <c r="AG99" s="4">
        <v>13</v>
      </c>
      <c r="AH99" s="4">
        <v>2</v>
      </c>
      <c r="AI99" s="4">
        <v>2</v>
      </c>
      <c r="AJ99" s="4">
        <v>3</v>
      </c>
      <c r="AK99" s="4">
        <v>3</v>
      </c>
      <c r="AL99" s="4">
        <v>6</v>
      </c>
      <c r="AM99" s="4">
        <v>6</v>
      </c>
      <c r="AN99" s="4">
        <v>1</v>
      </c>
      <c r="AO99" s="4">
        <v>1</v>
      </c>
      <c r="AP99" s="4">
        <v>3</v>
      </c>
      <c r="AQ99" s="4">
        <v>3</v>
      </c>
      <c r="AR99" s="3" t="s">
        <v>62</v>
      </c>
      <c r="AS99" s="3" t="s">
        <v>84</v>
      </c>
      <c r="AT99" s="6" t="str">
        <f>HYPERLINK("http://catalog.hathitrust.org/Record/000314546","HathiTrust Record")</f>
        <v>HathiTrust Record</v>
      </c>
      <c r="AU99" s="6" t="str">
        <f>HYPERLINK("https://creighton-primo.hosted.exlibrisgroup.com/primo-explore/search?tab=default_tab&amp;search_scope=EVERYTHING&amp;vid=01CRU&amp;lang=en_US&amp;offset=0&amp;query=any,contains,991003083429702656","Catalog Record")</f>
        <v>Catalog Record</v>
      </c>
      <c r="AV99" s="6" t="str">
        <f>HYPERLINK("http://www.worldcat.org/oclc/635108","WorldCat Record")</f>
        <v>WorldCat Record</v>
      </c>
      <c r="AW99" s="3" t="s">
        <v>1358</v>
      </c>
      <c r="AX99" s="3" t="s">
        <v>1359</v>
      </c>
      <c r="AY99" s="3" t="s">
        <v>1360</v>
      </c>
      <c r="AZ99" s="3" t="s">
        <v>1360</v>
      </c>
      <c r="BA99" s="3" t="s">
        <v>1361</v>
      </c>
      <c r="BB99" s="3" t="s">
        <v>77</v>
      </c>
      <c r="BD99" s="3" t="s">
        <v>1362</v>
      </c>
      <c r="BE99" s="3" t="s">
        <v>1363</v>
      </c>
      <c r="BF99" s="3" t="s">
        <v>1364</v>
      </c>
    </row>
    <row r="100" spans="1:58" ht="36.75" customHeight="1" x14ac:dyDescent="0.25">
      <c r="A100" s="7" t="s">
        <v>62</v>
      </c>
      <c r="B100" s="2" t="s">
        <v>57</v>
      </c>
      <c r="C100" s="2" t="s">
        <v>58</v>
      </c>
      <c r="D100" s="2" t="s">
        <v>1365</v>
      </c>
      <c r="E100" s="2" t="s">
        <v>1366</v>
      </c>
      <c r="F100" s="2" t="s">
        <v>1367</v>
      </c>
      <c r="H100" s="3" t="s">
        <v>62</v>
      </c>
      <c r="I100" s="3" t="s">
        <v>63</v>
      </c>
      <c r="J100" s="3" t="s">
        <v>62</v>
      </c>
      <c r="K100" s="3" t="s">
        <v>62</v>
      </c>
      <c r="L100" s="3" t="s">
        <v>64</v>
      </c>
      <c r="M100" s="2" t="s">
        <v>1368</v>
      </c>
      <c r="N100" s="2" t="s">
        <v>1369</v>
      </c>
      <c r="O100" s="3" t="s">
        <v>602</v>
      </c>
      <c r="Q100" s="3" t="s">
        <v>68</v>
      </c>
      <c r="R100" s="3" t="s">
        <v>359</v>
      </c>
      <c r="S100" s="2" t="s">
        <v>1370</v>
      </c>
      <c r="T100" s="3" t="s">
        <v>70</v>
      </c>
      <c r="U100" s="4">
        <v>1</v>
      </c>
      <c r="V100" s="4">
        <v>1</v>
      </c>
      <c r="W100" s="5" t="s">
        <v>1098</v>
      </c>
      <c r="X100" s="5" t="s">
        <v>1098</v>
      </c>
      <c r="Y100" s="5" t="s">
        <v>1098</v>
      </c>
      <c r="Z100" s="5" t="s">
        <v>1098</v>
      </c>
      <c r="AA100" s="4">
        <v>279</v>
      </c>
      <c r="AB100" s="4">
        <v>208</v>
      </c>
      <c r="AC100" s="4">
        <v>695</v>
      </c>
      <c r="AD100" s="4">
        <v>1</v>
      </c>
      <c r="AE100" s="4">
        <v>5</v>
      </c>
      <c r="AF100" s="4">
        <v>7</v>
      </c>
      <c r="AG100" s="4">
        <v>38</v>
      </c>
      <c r="AH100" s="4">
        <v>1</v>
      </c>
      <c r="AI100" s="4">
        <v>15</v>
      </c>
      <c r="AJ100" s="4">
        <v>2</v>
      </c>
      <c r="AK100" s="4">
        <v>9</v>
      </c>
      <c r="AL100" s="4">
        <v>2</v>
      </c>
      <c r="AM100" s="4">
        <v>14</v>
      </c>
      <c r="AN100" s="4">
        <v>0</v>
      </c>
      <c r="AO100" s="4">
        <v>4</v>
      </c>
      <c r="AP100" s="4">
        <v>2</v>
      </c>
      <c r="AQ100" s="4">
        <v>3</v>
      </c>
      <c r="AR100" s="3" t="s">
        <v>62</v>
      </c>
      <c r="AS100" s="3" t="s">
        <v>62</v>
      </c>
      <c r="AU100" s="6" t="str">
        <f>HYPERLINK("https://creighton-primo.hosted.exlibrisgroup.com/primo-explore/search?tab=default_tab&amp;search_scope=EVERYTHING&amp;vid=01CRU&amp;lang=en_US&amp;offset=0&amp;query=any,contains,991005232769702656","Catalog Record")</f>
        <v>Catalog Record</v>
      </c>
      <c r="AV100" s="6" t="str">
        <f>HYPERLINK("http://www.worldcat.org/oclc/10850462","WorldCat Record")</f>
        <v>WorldCat Record</v>
      </c>
      <c r="AW100" s="3" t="s">
        <v>1371</v>
      </c>
      <c r="AX100" s="3" t="s">
        <v>1372</v>
      </c>
      <c r="AY100" s="3" t="s">
        <v>1373</v>
      </c>
      <c r="AZ100" s="3" t="s">
        <v>1373</v>
      </c>
      <c r="BA100" s="3" t="s">
        <v>1374</v>
      </c>
      <c r="BB100" s="3" t="s">
        <v>77</v>
      </c>
      <c r="BD100" s="3" t="s">
        <v>1375</v>
      </c>
      <c r="BE100" s="3" t="s">
        <v>1376</v>
      </c>
      <c r="BF100" s="3" t="s">
        <v>1377</v>
      </c>
    </row>
    <row r="101" spans="1:58" ht="36.75" customHeight="1" x14ac:dyDescent="0.25">
      <c r="A101" s="7" t="s">
        <v>62</v>
      </c>
      <c r="B101" s="2" t="s">
        <v>57</v>
      </c>
      <c r="C101" s="2" t="s">
        <v>58</v>
      </c>
      <c r="D101" s="2" t="s">
        <v>1378</v>
      </c>
      <c r="E101" s="2" t="s">
        <v>1379</v>
      </c>
      <c r="F101" s="2" t="s">
        <v>1380</v>
      </c>
      <c r="H101" s="3" t="s">
        <v>62</v>
      </c>
      <c r="I101" s="3" t="s">
        <v>63</v>
      </c>
      <c r="J101" s="3" t="s">
        <v>62</v>
      </c>
      <c r="K101" s="3" t="s">
        <v>62</v>
      </c>
      <c r="L101" s="3" t="s">
        <v>64</v>
      </c>
      <c r="M101" s="2" t="s">
        <v>1381</v>
      </c>
      <c r="N101" s="2" t="s">
        <v>1382</v>
      </c>
      <c r="O101" s="3" t="s">
        <v>86</v>
      </c>
      <c r="Q101" s="3" t="s">
        <v>68</v>
      </c>
      <c r="R101" s="3" t="s">
        <v>1383</v>
      </c>
      <c r="T101" s="3" t="s">
        <v>70</v>
      </c>
      <c r="U101" s="4">
        <v>2</v>
      </c>
      <c r="V101" s="4">
        <v>2</v>
      </c>
      <c r="W101" s="5" t="s">
        <v>1384</v>
      </c>
      <c r="X101" s="5" t="s">
        <v>1384</v>
      </c>
      <c r="Y101" s="5" t="s">
        <v>1264</v>
      </c>
      <c r="Z101" s="5" t="s">
        <v>1264</v>
      </c>
      <c r="AA101" s="4">
        <v>206</v>
      </c>
      <c r="AB101" s="4">
        <v>178</v>
      </c>
      <c r="AC101" s="4">
        <v>230</v>
      </c>
      <c r="AD101" s="4">
        <v>1</v>
      </c>
      <c r="AE101" s="4">
        <v>1</v>
      </c>
      <c r="AF101" s="4">
        <v>7</v>
      </c>
      <c r="AG101" s="4">
        <v>8</v>
      </c>
      <c r="AH101" s="4">
        <v>4</v>
      </c>
      <c r="AI101" s="4">
        <v>4</v>
      </c>
      <c r="AJ101" s="4">
        <v>1</v>
      </c>
      <c r="AK101" s="4">
        <v>1</v>
      </c>
      <c r="AL101" s="4">
        <v>4</v>
      </c>
      <c r="AM101" s="4">
        <v>5</v>
      </c>
      <c r="AN101" s="4">
        <v>0</v>
      </c>
      <c r="AO101" s="4">
        <v>0</v>
      </c>
      <c r="AP101" s="4">
        <v>0</v>
      </c>
      <c r="AQ101" s="4">
        <v>0</v>
      </c>
      <c r="AR101" s="3" t="s">
        <v>62</v>
      </c>
      <c r="AS101" s="3" t="s">
        <v>84</v>
      </c>
      <c r="AT101" s="6" t="str">
        <f>HYPERLINK("http://catalog.hathitrust.org/Record/000686035","HathiTrust Record")</f>
        <v>HathiTrust Record</v>
      </c>
      <c r="AU101" s="6" t="str">
        <f>HYPERLINK("https://creighton-primo.hosted.exlibrisgroup.com/primo-explore/search?tab=default_tab&amp;search_scope=EVERYTHING&amp;vid=01CRU&amp;lang=en_US&amp;offset=0&amp;query=any,contains,991004049419702656","Catalog Record")</f>
        <v>Catalog Record</v>
      </c>
      <c r="AV101" s="6" t="str">
        <f>HYPERLINK("http://www.worldcat.org/oclc/1438634","WorldCat Record")</f>
        <v>WorldCat Record</v>
      </c>
      <c r="AW101" s="3" t="s">
        <v>1385</v>
      </c>
      <c r="AX101" s="3" t="s">
        <v>1386</v>
      </c>
      <c r="AY101" s="3" t="s">
        <v>1387</v>
      </c>
      <c r="AZ101" s="3" t="s">
        <v>1387</v>
      </c>
      <c r="BA101" s="3" t="s">
        <v>1388</v>
      </c>
      <c r="BB101" s="3" t="s">
        <v>77</v>
      </c>
      <c r="BD101" s="3" t="s">
        <v>1389</v>
      </c>
      <c r="BE101" s="3" t="s">
        <v>1390</v>
      </c>
      <c r="BF101" s="3" t="s">
        <v>1391</v>
      </c>
    </row>
    <row r="102" spans="1:58" ht="36.75" customHeight="1" x14ac:dyDescent="0.25">
      <c r="A102" s="7" t="s">
        <v>62</v>
      </c>
      <c r="B102" s="2" t="s">
        <v>57</v>
      </c>
      <c r="C102" s="2" t="s">
        <v>58</v>
      </c>
      <c r="D102" s="2" t="s">
        <v>1392</v>
      </c>
      <c r="E102" s="2" t="s">
        <v>1393</v>
      </c>
      <c r="F102" s="2" t="s">
        <v>1394</v>
      </c>
      <c r="H102" s="3" t="s">
        <v>62</v>
      </c>
      <c r="I102" s="3" t="s">
        <v>63</v>
      </c>
      <c r="J102" s="3" t="s">
        <v>62</v>
      </c>
      <c r="K102" s="3" t="s">
        <v>62</v>
      </c>
      <c r="L102" s="3" t="s">
        <v>64</v>
      </c>
      <c r="M102" s="2" t="s">
        <v>1395</v>
      </c>
      <c r="N102" s="2" t="s">
        <v>1396</v>
      </c>
      <c r="O102" s="3" t="s">
        <v>1329</v>
      </c>
      <c r="P102" s="2" t="s">
        <v>1397</v>
      </c>
      <c r="Q102" s="3" t="s">
        <v>68</v>
      </c>
      <c r="R102" s="3" t="s">
        <v>573</v>
      </c>
      <c r="T102" s="3" t="s">
        <v>70</v>
      </c>
      <c r="U102" s="4">
        <v>3</v>
      </c>
      <c r="V102" s="4">
        <v>3</v>
      </c>
      <c r="W102" s="5" t="s">
        <v>1398</v>
      </c>
      <c r="X102" s="5" t="s">
        <v>1398</v>
      </c>
      <c r="Y102" s="5" t="s">
        <v>1399</v>
      </c>
      <c r="Z102" s="5" t="s">
        <v>1399</v>
      </c>
      <c r="AA102" s="4">
        <v>575</v>
      </c>
      <c r="AB102" s="4">
        <v>513</v>
      </c>
      <c r="AC102" s="4">
        <v>514</v>
      </c>
      <c r="AD102" s="4">
        <v>5</v>
      </c>
      <c r="AE102" s="4">
        <v>5</v>
      </c>
      <c r="AF102" s="4">
        <v>36</v>
      </c>
      <c r="AG102" s="4">
        <v>36</v>
      </c>
      <c r="AH102" s="4">
        <v>17</v>
      </c>
      <c r="AI102" s="4">
        <v>17</v>
      </c>
      <c r="AJ102" s="4">
        <v>8</v>
      </c>
      <c r="AK102" s="4">
        <v>8</v>
      </c>
      <c r="AL102" s="4">
        <v>16</v>
      </c>
      <c r="AM102" s="4">
        <v>16</v>
      </c>
      <c r="AN102" s="4">
        <v>4</v>
      </c>
      <c r="AO102" s="4">
        <v>4</v>
      </c>
      <c r="AP102" s="4">
        <v>0</v>
      </c>
      <c r="AQ102" s="4">
        <v>0</v>
      </c>
      <c r="AR102" s="3" t="s">
        <v>62</v>
      </c>
      <c r="AS102" s="3" t="s">
        <v>84</v>
      </c>
      <c r="AT102" s="6" t="str">
        <f>HYPERLINK("http://catalog.hathitrust.org/Record/002167650","HathiTrust Record")</f>
        <v>HathiTrust Record</v>
      </c>
      <c r="AU102" s="6" t="str">
        <f>HYPERLINK("https://creighton-primo.hosted.exlibrisgroup.com/primo-explore/search?tab=default_tab&amp;search_scope=EVERYTHING&amp;vid=01CRU&amp;lang=en_US&amp;offset=0&amp;query=any,contains,991001617929702656","Catalog Record")</f>
        <v>Catalog Record</v>
      </c>
      <c r="AV102" s="6" t="str">
        <f>HYPERLINK("http://www.worldcat.org/oclc/20799612","WorldCat Record")</f>
        <v>WorldCat Record</v>
      </c>
      <c r="AW102" s="3" t="s">
        <v>1400</v>
      </c>
      <c r="AX102" s="3" t="s">
        <v>1401</v>
      </c>
      <c r="AY102" s="3" t="s">
        <v>1402</v>
      </c>
      <c r="AZ102" s="3" t="s">
        <v>1402</v>
      </c>
      <c r="BA102" s="3" t="s">
        <v>1403</v>
      </c>
      <c r="BB102" s="3" t="s">
        <v>77</v>
      </c>
      <c r="BD102" s="3" t="s">
        <v>1404</v>
      </c>
      <c r="BE102" s="3" t="s">
        <v>1405</v>
      </c>
      <c r="BF102" s="3" t="s">
        <v>1406</v>
      </c>
    </row>
    <row r="103" spans="1:58" ht="36.75" customHeight="1" x14ac:dyDescent="0.25">
      <c r="A103" s="7" t="s">
        <v>62</v>
      </c>
      <c r="B103" s="2" t="s">
        <v>57</v>
      </c>
      <c r="C103" s="2" t="s">
        <v>58</v>
      </c>
      <c r="D103" s="2" t="s">
        <v>1407</v>
      </c>
      <c r="E103" s="2" t="s">
        <v>1408</v>
      </c>
      <c r="F103" s="2" t="s">
        <v>1409</v>
      </c>
      <c r="H103" s="3" t="s">
        <v>62</v>
      </c>
      <c r="I103" s="3" t="s">
        <v>63</v>
      </c>
      <c r="J103" s="3" t="s">
        <v>62</v>
      </c>
      <c r="K103" s="3" t="s">
        <v>62</v>
      </c>
      <c r="L103" s="3" t="s">
        <v>64</v>
      </c>
      <c r="M103" s="2" t="s">
        <v>1410</v>
      </c>
      <c r="N103" s="2" t="s">
        <v>1411</v>
      </c>
      <c r="O103" s="3" t="s">
        <v>485</v>
      </c>
      <c r="Q103" s="3" t="s">
        <v>68</v>
      </c>
      <c r="R103" s="3" t="s">
        <v>699</v>
      </c>
      <c r="S103" s="2" t="s">
        <v>1412</v>
      </c>
      <c r="T103" s="3" t="s">
        <v>70</v>
      </c>
      <c r="U103" s="4">
        <v>7</v>
      </c>
      <c r="V103" s="4">
        <v>7</v>
      </c>
      <c r="W103" s="5" t="s">
        <v>1413</v>
      </c>
      <c r="X103" s="5" t="s">
        <v>1413</v>
      </c>
      <c r="Y103" s="5" t="s">
        <v>1264</v>
      </c>
      <c r="Z103" s="5" t="s">
        <v>1264</v>
      </c>
      <c r="AA103" s="4">
        <v>98</v>
      </c>
      <c r="AB103" s="4">
        <v>73</v>
      </c>
      <c r="AC103" s="4">
        <v>562</v>
      </c>
      <c r="AD103" s="4">
        <v>1</v>
      </c>
      <c r="AE103" s="4">
        <v>4</v>
      </c>
      <c r="AF103" s="4">
        <v>1</v>
      </c>
      <c r="AG103" s="4">
        <v>24</v>
      </c>
      <c r="AH103" s="4">
        <v>1</v>
      </c>
      <c r="AI103" s="4">
        <v>10</v>
      </c>
      <c r="AJ103" s="4">
        <v>0</v>
      </c>
      <c r="AK103" s="4">
        <v>4</v>
      </c>
      <c r="AL103" s="4">
        <v>0</v>
      </c>
      <c r="AM103" s="4">
        <v>9</v>
      </c>
      <c r="AN103" s="4">
        <v>0</v>
      </c>
      <c r="AO103" s="4">
        <v>3</v>
      </c>
      <c r="AP103" s="4">
        <v>0</v>
      </c>
      <c r="AQ103" s="4">
        <v>1</v>
      </c>
      <c r="AR103" s="3" t="s">
        <v>62</v>
      </c>
      <c r="AS103" s="3" t="s">
        <v>62</v>
      </c>
      <c r="AU103" s="6" t="str">
        <f>HYPERLINK("https://creighton-primo.hosted.exlibrisgroup.com/primo-explore/search?tab=default_tab&amp;search_scope=EVERYTHING&amp;vid=01CRU&amp;lang=en_US&amp;offset=0&amp;query=any,contains,991005074759702656","Catalog Record")</f>
        <v>Catalog Record</v>
      </c>
      <c r="AV103" s="6" t="str">
        <f>HYPERLINK("http://www.worldcat.org/oclc/7095186","WorldCat Record")</f>
        <v>WorldCat Record</v>
      </c>
      <c r="AW103" s="3" t="s">
        <v>1414</v>
      </c>
      <c r="AX103" s="3" t="s">
        <v>1415</v>
      </c>
      <c r="AY103" s="3" t="s">
        <v>1416</v>
      </c>
      <c r="AZ103" s="3" t="s">
        <v>1416</v>
      </c>
      <c r="BA103" s="3" t="s">
        <v>1417</v>
      </c>
      <c r="BB103" s="3" t="s">
        <v>77</v>
      </c>
      <c r="BE103" s="3" t="s">
        <v>1418</v>
      </c>
      <c r="BF103" s="3" t="s">
        <v>1419</v>
      </c>
    </row>
    <row r="104" spans="1:58" ht="36.75" customHeight="1" x14ac:dyDescent="0.25">
      <c r="A104" s="7" t="s">
        <v>62</v>
      </c>
      <c r="B104" s="2" t="s">
        <v>57</v>
      </c>
      <c r="C104" s="2" t="s">
        <v>58</v>
      </c>
      <c r="D104" s="2" t="s">
        <v>1420</v>
      </c>
      <c r="E104" s="2" t="s">
        <v>1421</v>
      </c>
      <c r="F104" s="2" t="s">
        <v>1422</v>
      </c>
      <c r="H104" s="3" t="s">
        <v>84</v>
      </c>
      <c r="I104" s="3" t="s">
        <v>63</v>
      </c>
      <c r="J104" s="3" t="s">
        <v>62</v>
      </c>
      <c r="K104" s="3" t="s">
        <v>62</v>
      </c>
      <c r="L104" s="3" t="s">
        <v>64</v>
      </c>
      <c r="M104" s="2" t="s">
        <v>1423</v>
      </c>
      <c r="N104" s="2" t="s">
        <v>1424</v>
      </c>
      <c r="O104" s="3" t="s">
        <v>86</v>
      </c>
      <c r="Q104" s="3" t="s">
        <v>68</v>
      </c>
      <c r="R104" s="3" t="s">
        <v>87</v>
      </c>
      <c r="T104" s="3" t="s">
        <v>70</v>
      </c>
      <c r="U104" s="4">
        <v>8</v>
      </c>
      <c r="V104" s="4">
        <v>8</v>
      </c>
      <c r="W104" s="5" t="s">
        <v>1425</v>
      </c>
      <c r="X104" s="5" t="s">
        <v>1425</v>
      </c>
      <c r="Y104" s="5" t="s">
        <v>1264</v>
      </c>
      <c r="Z104" s="5" t="s">
        <v>1264</v>
      </c>
      <c r="AA104" s="4">
        <v>342</v>
      </c>
      <c r="AB104" s="4">
        <v>292</v>
      </c>
      <c r="AC104" s="4">
        <v>309</v>
      </c>
      <c r="AD104" s="4">
        <v>2</v>
      </c>
      <c r="AE104" s="4">
        <v>2</v>
      </c>
      <c r="AF104" s="4">
        <v>25</v>
      </c>
      <c r="AG104" s="4">
        <v>25</v>
      </c>
      <c r="AH104" s="4">
        <v>7</v>
      </c>
      <c r="AI104" s="4">
        <v>7</v>
      </c>
      <c r="AJ104" s="4">
        <v>3</v>
      </c>
      <c r="AK104" s="4">
        <v>3</v>
      </c>
      <c r="AL104" s="4">
        <v>13</v>
      </c>
      <c r="AM104" s="4">
        <v>13</v>
      </c>
      <c r="AN104" s="4">
        <v>1</v>
      </c>
      <c r="AO104" s="4">
        <v>1</v>
      </c>
      <c r="AP104" s="4">
        <v>6</v>
      </c>
      <c r="AQ104" s="4">
        <v>6</v>
      </c>
      <c r="AR104" s="3" t="s">
        <v>62</v>
      </c>
      <c r="AS104" s="3" t="s">
        <v>84</v>
      </c>
      <c r="AT104" s="6" t="str">
        <f>HYPERLINK("http://catalog.hathitrust.org/Record/001402628","HathiTrust Record")</f>
        <v>HathiTrust Record</v>
      </c>
      <c r="AU104" s="6" t="str">
        <f>HYPERLINK("https://creighton-primo.hosted.exlibrisgroup.com/primo-explore/search?tab=default_tab&amp;search_scope=EVERYTHING&amp;vid=01CRU&amp;lang=en_US&amp;offset=0&amp;query=any,contains,991003278749702656","Catalog Record")</f>
        <v>Catalog Record</v>
      </c>
      <c r="AV104" s="6" t="str">
        <f>HYPERLINK("http://www.worldcat.org/oclc/801690","WorldCat Record")</f>
        <v>WorldCat Record</v>
      </c>
      <c r="AW104" s="3" t="s">
        <v>1426</v>
      </c>
      <c r="AX104" s="3" t="s">
        <v>1427</v>
      </c>
      <c r="AY104" s="3" t="s">
        <v>1428</v>
      </c>
      <c r="AZ104" s="3" t="s">
        <v>1428</v>
      </c>
      <c r="BA104" s="3" t="s">
        <v>1429</v>
      </c>
      <c r="BB104" s="3" t="s">
        <v>77</v>
      </c>
      <c r="BD104" s="3" t="s">
        <v>1430</v>
      </c>
      <c r="BE104" s="3" t="s">
        <v>1431</v>
      </c>
      <c r="BF104" s="3" t="s">
        <v>1432</v>
      </c>
    </row>
    <row r="105" spans="1:58" ht="36.75" customHeight="1" x14ac:dyDescent="0.25">
      <c r="A105" s="7" t="s">
        <v>62</v>
      </c>
      <c r="B105" s="2" t="s">
        <v>57</v>
      </c>
      <c r="C105" s="2" t="s">
        <v>58</v>
      </c>
      <c r="D105" s="2" t="s">
        <v>1433</v>
      </c>
      <c r="E105" s="2" t="s">
        <v>1434</v>
      </c>
      <c r="F105" s="2" t="s">
        <v>1435</v>
      </c>
      <c r="H105" s="3" t="s">
        <v>62</v>
      </c>
      <c r="I105" s="3" t="s">
        <v>63</v>
      </c>
      <c r="J105" s="3" t="s">
        <v>62</v>
      </c>
      <c r="K105" s="3" t="s">
        <v>62</v>
      </c>
      <c r="L105" s="3" t="s">
        <v>64</v>
      </c>
      <c r="M105" s="2" t="s">
        <v>1436</v>
      </c>
      <c r="N105" s="2" t="s">
        <v>1437</v>
      </c>
      <c r="O105" s="3" t="s">
        <v>498</v>
      </c>
      <c r="Q105" s="3" t="s">
        <v>68</v>
      </c>
      <c r="R105" s="3" t="s">
        <v>87</v>
      </c>
      <c r="S105" s="2" t="s">
        <v>1438</v>
      </c>
      <c r="T105" s="3" t="s">
        <v>70</v>
      </c>
      <c r="U105" s="4">
        <v>9</v>
      </c>
      <c r="V105" s="4">
        <v>9</v>
      </c>
      <c r="W105" s="5" t="s">
        <v>1439</v>
      </c>
      <c r="X105" s="5" t="s">
        <v>1439</v>
      </c>
      <c r="Y105" s="5" t="s">
        <v>1440</v>
      </c>
      <c r="Z105" s="5" t="s">
        <v>1440</v>
      </c>
      <c r="AA105" s="4">
        <v>634</v>
      </c>
      <c r="AB105" s="4">
        <v>511</v>
      </c>
      <c r="AC105" s="4">
        <v>636</v>
      </c>
      <c r="AD105" s="4">
        <v>3</v>
      </c>
      <c r="AE105" s="4">
        <v>4</v>
      </c>
      <c r="AF105" s="4">
        <v>28</v>
      </c>
      <c r="AG105" s="4">
        <v>39</v>
      </c>
      <c r="AH105" s="4">
        <v>12</v>
      </c>
      <c r="AI105" s="4">
        <v>17</v>
      </c>
      <c r="AJ105" s="4">
        <v>7</v>
      </c>
      <c r="AK105" s="4">
        <v>9</v>
      </c>
      <c r="AL105" s="4">
        <v>15</v>
      </c>
      <c r="AM105" s="4">
        <v>20</v>
      </c>
      <c r="AN105" s="4">
        <v>2</v>
      </c>
      <c r="AO105" s="4">
        <v>3</v>
      </c>
      <c r="AP105" s="4">
        <v>0</v>
      </c>
      <c r="AQ105" s="4">
        <v>0</v>
      </c>
      <c r="AR105" s="3" t="s">
        <v>62</v>
      </c>
      <c r="AS105" s="3" t="s">
        <v>84</v>
      </c>
      <c r="AT105" s="6" t="str">
        <f>HYPERLINK("http://catalog.hathitrust.org/Record/000741725","HathiTrust Record")</f>
        <v>HathiTrust Record</v>
      </c>
      <c r="AU105" s="6" t="str">
        <f>HYPERLINK("https://creighton-primo.hosted.exlibrisgroup.com/primo-explore/search?tab=default_tab&amp;search_scope=EVERYTHING&amp;vid=01CRU&amp;lang=en_US&amp;offset=0&amp;query=any,contains,991003703469702656","Catalog Record")</f>
        <v>Catalog Record</v>
      </c>
      <c r="AV105" s="6" t="str">
        <f>HYPERLINK("http://www.worldcat.org/oclc/1339798","WorldCat Record")</f>
        <v>WorldCat Record</v>
      </c>
      <c r="AW105" s="3" t="s">
        <v>1441</v>
      </c>
      <c r="AX105" s="3" t="s">
        <v>1442</v>
      </c>
      <c r="AY105" s="3" t="s">
        <v>1443</v>
      </c>
      <c r="AZ105" s="3" t="s">
        <v>1443</v>
      </c>
      <c r="BA105" s="3" t="s">
        <v>1444</v>
      </c>
      <c r="BB105" s="3" t="s">
        <v>77</v>
      </c>
      <c r="BD105" s="3" t="s">
        <v>1445</v>
      </c>
      <c r="BE105" s="3" t="s">
        <v>1446</v>
      </c>
      <c r="BF105" s="3" t="s">
        <v>1447</v>
      </c>
    </row>
    <row r="106" spans="1:58" ht="36.75" customHeight="1" x14ac:dyDescent="0.25">
      <c r="A106" s="7" t="s">
        <v>62</v>
      </c>
      <c r="B106" s="2" t="s">
        <v>57</v>
      </c>
      <c r="C106" s="2" t="s">
        <v>58</v>
      </c>
      <c r="D106" s="2" t="s">
        <v>1448</v>
      </c>
      <c r="E106" s="2" t="s">
        <v>1449</v>
      </c>
      <c r="F106" s="2" t="s">
        <v>1450</v>
      </c>
      <c r="H106" s="3" t="s">
        <v>62</v>
      </c>
      <c r="I106" s="3" t="s">
        <v>63</v>
      </c>
      <c r="J106" s="3" t="s">
        <v>62</v>
      </c>
      <c r="K106" s="3" t="s">
        <v>62</v>
      </c>
      <c r="L106" s="3" t="s">
        <v>64</v>
      </c>
      <c r="M106" s="2" t="s">
        <v>1451</v>
      </c>
      <c r="N106" s="2" t="s">
        <v>1452</v>
      </c>
      <c r="O106" s="3" t="s">
        <v>262</v>
      </c>
      <c r="Q106" s="3" t="s">
        <v>68</v>
      </c>
      <c r="R106" s="3" t="s">
        <v>69</v>
      </c>
      <c r="T106" s="3" t="s">
        <v>70</v>
      </c>
      <c r="U106" s="4">
        <v>2</v>
      </c>
      <c r="V106" s="4">
        <v>2</v>
      </c>
      <c r="W106" s="5" t="s">
        <v>1453</v>
      </c>
      <c r="X106" s="5" t="s">
        <v>1453</v>
      </c>
      <c r="Y106" s="5" t="s">
        <v>1454</v>
      </c>
      <c r="Z106" s="5" t="s">
        <v>1454</v>
      </c>
      <c r="AA106" s="4">
        <v>211</v>
      </c>
      <c r="AB106" s="4">
        <v>187</v>
      </c>
      <c r="AC106" s="4">
        <v>212</v>
      </c>
      <c r="AD106" s="4">
        <v>2</v>
      </c>
      <c r="AE106" s="4">
        <v>2</v>
      </c>
      <c r="AF106" s="4">
        <v>24</v>
      </c>
      <c r="AG106" s="4">
        <v>27</v>
      </c>
      <c r="AH106" s="4">
        <v>8</v>
      </c>
      <c r="AI106" s="4">
        <v>9</v>
      </c>
      <c r="AJ106" s="4">
        <v>6</v>
      </c>
      <c r="AK106" s="4">
        <v>6</v>
      </c>
      <c r="AL106" s="4">
        <v>18</v>
      </c>
      <c r="AM106" s="4">
        <v>21</v>
      </c>
      <c r="AN106" s="4">
        <v>0</v>
      </c>
      <c r="AO106" s="4">
        <v>0</v>
      </c>
      <c r="AP106" s="4">
        <v>0</v>
      </c>
      <c r="AQ106" s="4">
        <v>0</v>
      </c>
      <c r="AR106" s="3" t="s">
        <v>62</v>
      </c>
      <c r="AS106" s="3" t="s">
        <v>84</v>
      </c>
      <c r="AT106" s="6" t="str">
        <f>HYPERLINK("http://catalog.hathitrust.org/Record/102385290","HathiTrust Record")</f>
        <v>HathiTrust Record</v>
      </c>
      <c r="AU106" s="6" t="str">
        <f>HYPERLINK("https://creighton-primo.hosted.exlibrisgroup.com/primo-explore/search?tab=default_tab&amp;search_scope=EVERYTHING&amp;vid=01CRU&amp;lang=en_US&amp;offset=0&amp;query=any,contains,991002607879702656","Catalog Record")</f>
        <v>Catalog Record</v>
      </c>
      <c r="AV106" s="6" t="str">
        <f>HYPERLINK("http://www.worldcat.org/oclc/377474","WorldCat Record")</f>
        <v>WorldCat Record</v>
      </c>
      <c r="AW106" s="3" t="s">
        <v>1455</v>
      </c>
      <c r="AX106" s="3" t="s">
        <v>1456</v>
      </c>
      <c r="AY106" s="3" t="s">
        <v>1457</v>
      </c>
      <c r="AZ106" s="3" t="s">
        <v>1457</v>
      </c>
      <c r="BA106" s="3" t="s">
        <v>1458</v>
      </c>
      <c r="BB106" s="3" t="s">
        <v>77</v>
      </c>
      <c r="BE106" s="3" t="s">
        <v>1459</v>
      </c>
      <c r="BF106" s="3" t="s">
        <v>1460</v>
      </c>
    </row>
    <row r="107" spans="1:58" ht="36.75" customHeight="1" x14ac:dyDescent="0.25">
      <c r="A107" s="7" t="s">
        <v>62</v>
      </c>
      <c r="B107" s="2" t="s">
        <v>57</v>
      </c>
      <c r="C107" s="2" t="s">
        <v>58</v>
      </c>
      <c r="D107" s="2" t="s">
        <v>1461</v>
      </c>
      <c r="E107" s="2" t="s">
        <v>1462</v>
      </c>
      <c r="F107" s="2" t="s">
        <v>1463</v>
      </c>
      <c r="H107" s="3" t="s">
        <v>62</v>
      </c>
      <c r="I107" s="3" t="s">
        <v>63</v>
      </c>
      <c r="J107" s="3" t="s">
        <v>62</v>
      </c>
      <c r="K107" s="3" t="s">
        <v>62</v>
      </c>
      <c r="L107" s="3" t="s">
        <v>64</v>
      </c>
      <c r="M107" s="2" t="s">
        <v>1464</v>
      </c>
      <c r="N107" s="2" t="s">
        <v>1465</v>
      </c>
      <c r="O107" s="3" t="s">
        <v>1466</v>
      </c>
      <c r="Q107" s="3" t="s">
        <v>68</v>
      </c>
      <c r="R107" s="3" t="s">
        <v>229</v>
      </c>
      <c r="S107" s="2" t="s">
        <v>1467</v>
      </c>
      <c r="T107" s="3" t="s">
        <v>70</v>
      </c>
      <c r="U107" s="4">
        <v>2</v>
      </c>
      <c r="V107" s="4">
        <v>2</v>
      </c>
      <c r="W107" s="5" t="s">
        <v>1453</v>
      </c>
      <c r="X107" s="5" t="s">
        <v>1453</v>
      </c>
      <c r="Y107" s="5" t="s">
        <v>1454</v>
      </c>
      <c r="Z107" s="5" t="s">
        <v>1454</v>
      </c>
      <c r="AA107" s="4">
        <v>353</v>
      </c>
      <c r="AB107" s="4">
        <v>269</v>
      </c>
      <c r="AC107" s="4">
        <v>276</v>
      </c>
      <c r="AD107" s="4">
        <v>1</v>
      </c>
      <c r="AE107" s="4">
        <v>1</v>
      </c>
      <c r="AF107" s="4">
        <v>15</v>
      </c>
      <c r="AG107" s="4">
        <v>15</v>
      </c>
      <c r="AH107" s="4">
        <v>5</v>
      </c>
      <c r="AI107" s="4">
        <v>5</v>
      </c>
      <c r="AJ107" s="4">
        <v>4</v>
      </c>
      <c r="AK107" s="4">
        <v>4</v>
      </c>
      <c r="AL107" s="4">
        <v>8</v>
      </c>
      <c r="AM107" s="4">
        <v>8</v>
      </c>
      <c r="AN107" s="4">
        <v>0</v>
      </c>
      <c r="AO107" s="4">
        <v>0</v>
      </c>
      <c r="AP107" s="4">
        <v>0</v>
      </c>
      <c r="AQ107" s="4">
        <v>0</v>
      </c>
      <c r="AR107" s="3" t="s">
        <v>84</v>
      </c>
      <c r="AS107" s="3" t="s">
        <v>62</v>
      </c>
      <c r="AT107" s="6" t="str">
        <f>HYPERLINK("http://catalog.hathitrust.org/Record/001658571","HathiTrust Record")</f>
        <v>HathiTrust Record</v>
      </c>
      <c r="AU107" s="6" t="str">
        <f>HYPERLINK("https://creighton-primo.hosted.exlibrisgroup.com/primo-explore/search?tab=default_tab&amp;search_scope=EVERYTHING&amp;vid=01CRU&amp;lang=en_US&amp;offset=0&amp;query=any,contains,991003757709702656","Catalog Record")</f>
        <v>Catalog Record</v>
      </c>
      <c r="AV107" s="6" t="str">
        <f>HYPERLINK("http://www.worldcat.org/oclc/480736","WorldCat Record")</f>
        <v>WorldCat Record</v>
      </c>
      <c r="AW107" s="3" t="s">
        <v>1468</v>
      </c>
      <c r="AX107" s="3" t="s">
        <v>1469</v>
      </c>
      <c r="AY107" s="3" t="s">
        <v>1470</v>
      </c>
      <c r="AZ107" s="3" t="s">
        <v>1470</v>
      </c>
      <c r="BA107" s="3" t="s">
        <v>1471</v>
      </c>
      <c r="BB107" s="3" t="s">
        <v>77</v>
      </c>
      <c r="BD107" s="3" t="s">
        <v>1472</v>
      </c>
      <c r="BE107" s="3" t="s">
        <v>1473</v>
      </c>
      <c r="BF107" s="3" t="s">
        <v>1474</v>
      </c>
    </row>
    <row r="108" spans="1:58" ht="36.75" customHeight="1" x14ac:dyDescent="0.25">
      <c r="A108" s="7" t="s">
        <v>62</v>
      </c>
      <c r="B108" s="2" t="s">
        <v>57</v>
      </c>
      <c r="C108" s="2" t="s">
        <v>58</v>
      </c>
      <c r="D108" s="2" t="s">
        <v>1475</v>
      </c>
      <c r="E108" s="2" t="s">
        <v>1476</v>
      </c>
      <c r="F108" s="2" t="s">
        <v>1477</v>
      </c>
      <c r="H108" s="3" t="s">
        <v>62</v>
      </c>
      <c r="I108" s="3" t="s">
        <v>63</v>
      </c>
      <c r="J108" s="3" t="s">
        <v>62</v>
      </c>
      <c r="K108" s="3" t="s">
        <v>62</v>
      </c>
      <c r="L108" s="3" t="s">
        <v>64</v>
      </c>
      <c r="N108" s="2" t="s">
        <v>1478</v>
      </c>
      <c r="O108" s="3" t="s">
        <v>415</v>
      </c>
      <c r="Q108" s="3" t="s">
        <v>68</v>
      </c>
      <c r="R108" s="3" t="s">
        <v>146</v>
      </c>
      <c r="T108" s="3" t="s">
        <v>70</v>
      </c>
      <c r="U108" s="4">
        <v>5</v>
      </c>
      <c r="V108" s="4">
        <v>5</v>
      </c>
      <c r="W108" s="5" t="s">
        <v>1479</v>
      </c>
      <c r="X108" s="5" t="s">
        <v>1479</v>
      </c>
      <c r="Y108" s="5" t="s">
        <v>1454</v>
      </c>
      <c r="Z108" s="5" t="s">
        <v>1454</v>
      </c>
      <c r="AA108" s="4">
        <v>338</v>
      </c>
      <c r="AB108" s="4">
        <v>319</v>
      </c>
      <c r="AC108" s="4">
        <v>319</v>
      </c>
      <c r="AD108" s="4">
        <v>1</v>
      </c>
      <c r="AE108" s="4">
        <v>1</v>
      </c>
      <c r="AF108" s="4">
        <v>11</v>
      </c>
      <c r="AG108" s="4">
        <v>11</v>
      </c>
      <c r="AH108" s="4">
        <v>3</v>
      </c>
      <c r="AI108" s="4">
        <v>3</v>
      </c>
      <c r="AJ108" s="4">
        <v>2</v>
      </c>
      <c r="AK108" s="4">
        <v>2</v>
      </c>
      <c r="AL108" s="4">
        <v>8</v>
      </c>
      <c r="AM108" s="4">
        <v>8</v>
      </c>
      <c r="AN108" s="4">
        <v>0</v>
      </c>
      <c r="AO108" s="4">
        <v>0</v>
      </c>
      <c r="AP108" s="4">
        <v>1</v>
      </c>
      <c r="AQ108" s="4">
        <v>1</v>
      </c>
      <c r="AR108" s="3" t="s">
        <v>62</v>
      </c>
      <c r="AS108" s="3" t="s">
        <v>62</v>
      </c>
      <c r="AU108" s="6" t="str">
        <f>HYPERLINK("https://creighton-primo.hosted.exlibrisgroup.com/primo-explore/search?tab=default_tab&amp;search_scope=EVERYTHING&amp;vid=01CRU&amp;lang=en_US&amp;offset=0&amp;query=any,contains,991000366539702656","Catalog Record")</f>
        <v>Catalog Record</v>
      </c>
      <c r="AV108" s="6" t="str">
        <f>HYPERLINK("http://www.worldcat.org/oclc/10403529","WorldCat Record")</f>
        <v>WorldCat Record</v>
      </c>
      <c r="AW108" s="3" t="s">
        <v>1480</v>
      </c>
      <c r="AX108" s="3" t="s">
        <v>1481</v>
      </c>
      <c r="AY108" s="3" t="s">
        <v>1482</v>
      </c>
      <c r="AZ108" s="3" t="s">
        <v>1482</v>
      </c>
      <c r="BA108" s="3" t="s">
        <v>1483</v>
      </c>
      <c r="BB108" s="3" t="s">
        <v>77</v>
      </c>
      <c r="BE108" s="3" t="s">
        <v>1484</v>
      </c>
      <c r="BF108" s="3" t="s">
        <v>1485</v>
      </c>
    </row>
    <row r="109" spans="1:58" ht="36.75" customHeight="1" x14ac:dyDescent="0.25">
      <c r="A109" s="7" t="s">
        <v>62</v>
      </c>
      <c r="B109" s="2" t="s">
        <v>57</v>
      </c>
      <c r="C109" s="2" t="s">
        <v>58</v>
      </c>
      <c r="D109" s="2" t="s">
        <v>1486</v>
      </c>
      <c r="E109" s="2" t="s">
        <v>1487</v>
      </c>
      <c r="F109" s="2" t="s">
        <v>1488</v>
      </c>
      <c r="H109" s="3" t="s">
        <v>62</v>
      </c>
      <c r="I109" s="3" t="s">
        <v>63</v>
      </c>
      <c r="J109" s="3" t="s">
        <v>62</v>
      </c>
      <c r="K109" s="3" t="s">
        <v>62</v>
      </c>
      <c r="L109" s="3" t="s">
        <v>64</v>
      </c>
      <c r="N109" s="2" t="s">
        <v>1489</v>
      </c>
      <c r="O109" s="3" t="s">
        <v>105</v>
      </c>
      <c r="Q109" s="3" t="s">
        <v>68</v>
      </c>
      <c r="R109" s="3" t="s">
        <v>699</v>
      </c>
      <c r="S109" s="2" t="s">
        <v>1490</v>
      </c>
      <c r="T109" s="3" t="s">
        <v>70</v>
      </c>
      <c r="U109" s="4">
        <v>6</v>
      </c>
      <c r="V109" s="4">
        <v>6</v>
      </c>
      <c r="W109" s="5" t="s">
        <v>1491</v>
      </c>
      <c r="X109" s="5" t="s">
        <v>1491</v>
      </c>
      <c r="Y109" s="5" t="s">
        <v>1454</v>
      </c>
      <c r="Z109" s="5" t="s">
        <v>1454</v>
      </c>
      <c r="AA109" s="4">
        <v>571</v>
      </c>
      <c r="AB109" s="4">
        <v>468</v>
      </c>
      <c r="AC109" s="4">
        <v>775</v>
      </c>
      <c r="AD109" s="4">
        <v>4</v>
      </c>
      <c r="AE109" s="4">
        <v>6</v>
      </c>
      <c r="AF109" s="4">
        <v>30</v>
      </c>
      <c r="AG109" s="4">
        <v>36</v>
      </c>
      <c r="AH109" s="4">
        <v>13</v>
      </c>
      <c r="AI109" s="4">
        <v>17</v>
      </c>
      <c r="AJ109" s="4">
        <v>7</v>
      </c>
      <c r="AK109" s="4">
        <v>8</v>
      </c>
      <c r="AL109" s="4">
        <v>15</v>
      </c>
      <c r="AM109" s="4">
        <v>15</v>
      </c>
      <c r="AN109" s="4">
        <v>3</v>
      </c>
      <c r="AO109" s="4">
        <v>5</v>
      </c>
      <c r="AP109" s="4">
        <v>0</v>
      </c>
      <c r="AQ109" s="4">
        <v>0</v>
      </c>
      <c r="AR109" s="3" t="s">
        <v>62</v>
      </c>
      <c r="AS109" s="3" t="s">
        <v>62</v>
      </c>
      <c r="AU109" s="6" t="str">
        <f>HYPERLINK("https://creighton-primo.hosted.exlibrisgroup.com/primo-explore/search?tab=default_tab&amp;search_scope=EVERYTHING&amp;vid=01CRU&amp;lang=en_US&amp;offset=0&amp;query=any,contains,991005407689702656","Catalog Record")</f>
        <v>Catalog Record</v>
      </c>
      <c r="AV109" s="6" t="str">
        <f>HYPERLINK("http://www.worldcat.org/oclc/15421782","WorldCat Record")</f>
        <v>WorldCat Record</v>
      </c>
      <c r="AW109" s="3" t="s">
        <v>1492</v>
      </c>
      <c r="AX109" s="3" t="s">
        <v>1493</v>
      </c>
      <c r="AY109" s="3" t="s">
        <v>1494</v>
      </c>
      <c r="AZ109" s="3" t="s">
        <v>1494</v>
      </c>
      <c r="BA109" s="3" t="s">
        <v>1495</v>
      </c>
      <c r="BB109" s="3" t="s">
        <v>77</v>
      </c>
      <c r="BD109" s="3" t="s">
        <v>1496</v>
      </c>
      <c r="BE109" s="3" t="s">
        <v>1497</v>
      </c>
      <c r="BF109" s="3" t="s">
        <v>1498</v>
      </c>
    </row>
    <row r="110" spans="1:58" ht="36.75" customHeight="1" x14ac:dyDescent="0.25">
      <c r="A110" s="7" t="s">
        <v>62</v>
      </c>
      <c r="B110" s="2" t="s">
        <v>57</v>
      </c>
      <c r="C110" s="2" t="s">
        <v>58</v>
      </c>
      <c r="D110" s="2" t="s">
        <v>1499</v>
      </c>
      <c r="E110" s="2" t="s">
        <v>1500</v>
      </c>
      <c r="F110" s="2" t="s">
        <v>1501</v>
      </c>
      <c r="H110" s="3" t="s">
        <v>62</v>
      </c>
      <c r="I110" s="3" t="s">
        <v>63</v>
      </c>
      <c r="J110" s="3" t="s">
        <v>62</v>
      </c>
      <c r="K110" s="3" t="s">
        <v>62</v>
      </c>
      <c r="L110" s="3" t="s">
        <v>64</v>
      </c>
      <c r="N110" s="2" t="s">
        <v>738</v>
      </c>
      <c r="O110" s="3" t="s">
        <v>726</v>
      </c>
      <c r="Q110" s="3" t="s">
        <v>68</v>
      </c>
      <c r="R110" s="3" t="s">
        <v>87</v>
      </c>
      <c r="S110" s="2" t="s">
        <v>739</v>
      </c>
      <c r="T110" s="3" t="s">
        <v>70</v>
      </c>
      <c r="U110" s="4">
        <v>4</v>
      </c>
      <c r="V110" s="4">
        <v>4</v>
      </c>
      <c r="W110" s="5" t="s">
        <v>1502</v>
      </c>
      <c r="X110" s="5" t="s">
        <v>1502</v>
      </c>
      <c r="Y110" s="5" t="s">
        <v>1454</v>
      </c>
      <c r="Z110" s="5" t="s">
        <v>1454</v>
      </c>
      <c r="AA110" s="4">
        <v>282</v>
      </c>
      <c r="AB110" s="4">
        <v>252</v>
      </c>
      <c r="AC110" s="4">
        <v>257</v>
      </c>
      <c r="AD110" s="4">
        <v>1</v>
      </c>
      <c r="AE110" s="4">
        <v>1</v>
      </c>
      <c r="AF110" s="4">
        <v>8</v>
      </c>
      <c r="AG110" s="4">
        <v>8</v>
      </c>
      <c r="AH110" s="4">
        <v>2</v>
      </c>
      <c r="AI110" s="4">
        <v>2</v>
      </c>
      <c r="AJ110" s="4">
        <v>2</v>
      </c>
      <c r="AK110" s="4">
        <v>2</v>
      </c>
      <c r="AL110" s="4">
        <v>5</v>
      </c>
      <c r="AM110" s="4">
        <v>5</v>
      </c>
      <c r="AN110" s="4">
        <v>0</v>
      </c>
      <c r="AO110" s="4">
        <v>0</v>
      </c>
      <c r="AP110" s="4">
        <v>0</v>
      </c>
      <c r="AQ110" s="4">
        <v>0</v>
      </c>
      <c r="AR110" s="3" t="s">
        <v>62</v>
      </c>
      <c r="AS110" s="3" t="s">
        <v>62</v>
      </c>
      <c r="AU110" s="6" t="str">
        <f>HYPERLINK("https://creighton-primo.hosted.exlibrisgroup.com/primo-explore/search?tab=default_tab&amp;search_scope=EVERYTHING&amp;vid=01CRU&amp;lang=en_US&amp;offset=0&amp;query=any,contains,991003123159702656","Catalog Record")</f>
        <v>Catalog Record</v>
      </c>
      <c r="AV110" s="6" t="str">
        <f>HYPERLINK("http://www.worldcat.org/oclc/668373","WorldCat Record")</f>
        <v>WorldCat Record</v>
      </c>
      <c r="AW110" s="3" t="s">
        <v>1503</v>
      </c>
      <c r="AX110" s="3" t="s">
        <v>1504</v>
      </c>
      <c r="AY110" s="3" t="s">
        <v>1505</v>
      </c>
      <c r="AZ110" s="3" t="s">
        <v>1505</v>
      </c>
      <c r="BA110" s="3" t="s">
        <v>1506</v>
      </c>
      <c r="BB110" s="3" t="s">
        <v>77</v>
      </c>
      <c r="BD110" s="3" t="s">
        <v>1507</v>
      </c>
      <c r="BE110" s="3" t="s">
        <v>1508</v>
      </c>
      <c r="BF110" s="3" t="s">
        <v>1509</v>
      </c>
    </row>
    <row r="111" spans="1:58" ht="36.75" customHeight="1" x14ac:dyDescent="0.25">
      <c r="A111" s="7" t="s">
        <v>62</v>
      </c>
      <c r="B111" s="2" t="s">
        <v>57</v>
      </c>
      <c r="C111" s="2" t="s">
        <v>58</v>
      </c>
      <c r="D111" s="2" t="s">
        <v>1510</v>
      </c>
      <c r="E111" s="2" t="s">
        <v>1511</v>
      </c>
      <c r="F111" s="2" t="s">
        <v>1512</v>
      </c>
      <c r="H111" s="3" t="s">
        <v>62</v>
      </c>
      <c r="I111" s="3" t="s">
        <v>63</v>
      </c>
      <c r="J111" s="3" t="s">
        <v>62</v>
      </c>
      <c r="K111" s="3" t="s">
        <v>62</v>
      </c>
      <c r="L111" s="3" t="s">
        <v>64</v>
      </c>
      <c r="M111" s="2" t="s">
        <v>1513</v>
      </c>
      <c r="N111" s="2" t="s">
        <v>1514</v>
      </c>
      <c r="O111" s="3" t="s">
        <v>767</v>
      </c>
      <c r="Q111" s="3" t="s">
        <v>1515</v>
      </c>
      <c r="R111" s="3" t="s">
        <v>1516</v>
      </c>
      <c r="T111" s="3" t="s">
        <v>70</v>
      </c>
      <c r="U111" s="4">
        <v>0</v>
      </c>
      <c r="V111" s="4">
        <v>0</v>
      </c>
      <c r="W111" s="5" t="s">
        <v>1517</v>
      </c>
      <c r="X111" s="5" t="s">
        <v>1517</v>
      </c>
      <c r="Y111" s="5" t="s">
        <v>1454</v>
      </c>
      <c r="Z111" s="5" t="s">
        <v>1454</v>
      </c>
      <c r="AA111" s="4">
        <v>55</v>
      </c>
      <c r="AB111" s="4">
        <v>40</v>
      </c>
      <c r="AC111" s="4">
        <v>41</v>
      </c>
      <c r="AD111" s="4">
        <v>1</v>
      </c>
      <c r="AE111" s="4">
        <v>1</v>
      </c>
      <c r="AF111" s="4">
        <v>3</v>
      </c>
      <c r="AG111" s="4">
        <v>3</v>
      </c>
      <c r="AH111" s="4">
        <v>0</v>
      </c>
      <c r="AI111" s="4">
        <v>0</v>
      </c>
      <c r="AJ111" s="4">
        <v>0</v>
      </c>
      <c r="AK111" s="4">
        <v>0</v>
      </c>
      <c r="AL111" s="4">
        <v>3</v>
      </c>
      <c r="AM111" s="4">
        <v>3</v>
      </c>
      <c r="AN111" s="4">
        <v>0</v>
      </c>
      <c r="AO111" s="4">
        <v>0</v>
      </c>
      <c r="AP111" s="4">
        <v>0</v>
      </c>
      <c r="AQ111" s="4">
        <v>0</v>
      </c>
      <c r="AR111" s="3" t="s">
        <v>62</v>
      </c>
      <c r="AS111" s="3" t="s">
        <v>62</v>
      </c>
      <c r="AU111" s="6" t="str">
        <f>HYPERLINK("https://creighton-primo.hosted.exlibrisgroup.com/primo-explore/search?tab=default_tab&amp;search_scope=EVERYTHING&amp;vid=01CRU&amp;lang=en_US&amp;offset=0&amp;query=any,contains,991004875119702656","Catalog Record")</f>
        <v>Catalog Record</v>
      </c>
      <c r="AV111" s="6" t="str">
        <f>HYPERLINK("http://www.worldcat.org/oclc/5783190","WorldCat Record")</f>
        <v>WorldCat Record</v>
      </c>
      <c r="AW111" s="3" t="s">
        <v>1518</v>
      </c>
      <c r="AX111" s="3" t="s">
        <v>1519</v>
      </c>
      <c r="AY111" s="3" t="s">
        <v>1520</v>
      </c>
      <c r="AZ111" s="3" t="s">
        <v>1520</v>
      </c>
      <c r="BA111" s="3" t="s">
        <v>1521</v>
      </c>
      <c r="BB111" s="3" t="s">
        <v>77</v>
      </c>
      <c r="BE111" s="3" t="s">
        <v>1522</v>
      </c>
      <c r="BF111" s="3" t="s">
        <v>1523</v>
      </c>
    </row>
    <row r="112" spans="1:58" ht="36.75" customHeight="1" x14ac:dyDescent="0.25">
      <c r="A112" s="7" t="s">
        <v>62</v>
      </c>
      <c r="B112" s="2" t="s">
        <v>57</v>
      </c>
      <c r="C112" s="2" t="s">
        <v>58</v>
      </c>
      <c r="D112" s="2" t="s">
        <v>1524</v>
      </c>
      <c r="E112" s="2" t="s">
        <v>1525</v>
      </c>
      <c r="F112" s="2" t="s">
        <v>1526</v>
      </c>
      <c r="H112" s="3" t="s">
        <v>62</v>
      </c>
      <c r="I112" s="3" t="s">
        <v>63</v>
      </c>
      <c r="J112" s="3" t="s">
        <v>62</v>
      </c>
      <c r="K112" s="3" t="s">
        <v>62</v>
      </c>
      <c r="L112" s="3" t="s">
        <v>64</v>
      </c>
      <c r="M112" s="2" t="s">
        <v>1527</v>
      </c>
      <c r="N112" s="2" t="s">
        <v>1528</v>
      </c>
      <c r="O112" s="3" t="s">
        <v>1028</v>
      </c>
      <c r="Q112" s="3" t="s">
        <v>68</v>
      </c>
      <c r="R112" s="3" t="s">
        <v>229</v>
      </c>
      <c r="T112" s="3" t="s">
        <v>70</v>
      </c>
      <c r="U112" s="4">
        <v>6</v>
      </c>
      <c r="V112" s="4">
        <v>6</v>
      </c>
      <c r="W112" s="5" t="s">
        <v>1529</v>
      </c>
      <c r="X112" s="5" t="s">
        <v>1529</v>
      </c>
      <c r="Y112" s="5" t="s">
        <v>1454</v>
      </c>
      <c r="Z112" s="5" t="s">
        <v>1454</v>
      </c>
      <c r="AA112" s="4">
        <v>450</v>
      </c>
      <c r="AB112" s="4">
        <v>379</v>
      </c>
      <c r="AC112" s="4">
        <v>395</v>
      </c>
      <c r="AD112" s="4">
        <v>3</v>
      </c>
      <c r="AE112" s="4">
        <v>3</v>
      </c>
      <c r="AF112" s="4">
        <v>26</v>
      </c>
      <c r="AG112" s="4">
        <v>28</v>
      </c>
      <c r="AH112" s="4">
        <v>11</v>
      </c>
      <c r="AI112" s="4">
        <v>13</v>
      </c>
      <c r="AJ112" s="4">
        <v>7</v>
      </c>
      <c r="AK112" s="4">
        <v>7</v>
      </c>
      <c r="AL112" s="4">
        <v>15</v>
      </c>
      <c r="AM112" s="4">
        <v>15</v>
      </c>
      <c r="AN112" s="4">
        <v>2</v>
      </c>
      <c r="AO112" s="4">
        <v>2</v>
      </c>
      <c r="AP112" s="4">
        <v>0</v>
      </c>
      <c r="AQ112" s="4">
        <v>0</v>
      </c>
      <c r="AR112" s="3" t="s">
        <v>62</v>
      </c>
      <c r="AS112" s="3" t="s">
        <v>62</v>
      </c>
      <c r="AU112" s="6" t="str">
        <f>HYPERLINK("https://creighton-primo.hosted.exlibrisgroup.com/primo-explore/search?tab=default_tab&amp;search_scope=EVERYTHING&amp;vid=01CRU&amp;lang=en_US&amp;offset=0&amp;query=any,contains,991005020929702656","Catalog Record")</f>
        <v>Catalog Record</v>
      </c>
      <c r="AV112" s="6" t="str">
        <f>HYPERLINK("http://www.worldcat.org/oclc/6649620","WorldCat Record")</f>
        <v>WorldCat Record</v>
      </c>
      <c r="AW112" s="3" t="s">
        <v>1530</v>
      </c>
      <c r="AX112" s="3" t="s">
        <v>1531</v>
      </c>
      <c r="AY112" s="3" t="s">
        <v>1532</v>
      </c>
      <c r="AZ112" s="3" t="s">
        <v>1532</v>
      </c>
      <c r="BA112" s="3" t="s">
        <v>1533</v>
      </c>
      <c r="BB112" s="3" t="s">
        <v>77</v>
      </c>
      <c r="BD112" s="3" t="s">
        <v>1534</v>
      </c>
      <c r="BE112" s="3" t="s">
        <v>1535</v>
      </c>
      <c r="BF112" s="3" t="s">
        <v>1536</v>
      </c>
    </row>
    <row r="113" spans="1:58" ht="36.75" customHeight="1" x14ac:dyDescent="0.25">
      <c r="A113" s="7" t="s">
        <v>62</v>
      </c>
      <c r="B113" s="2" t="s">
        <v>57</v>
      </c>
      <c r="C113" s="2" t="s">
        <v>58</v>
      </c>
      <c r="D113" s="2" t="s">
        <v>1537</v>
      </c>
      <c r="E113" s="2" t="s">
        <v>1538</v>
      </c>
      <c r="F113" s="2" t="s">
        <v>1539</v>
      </c>
      <c r="H113" s="3" t="s">
        <v>62</v>
      </c>
      <c r="I113" s="3" t="s">
        <v>63</v>
      </c>
      <c r="J113" s="3" t="s">
        <v>62</v>
      </c>
      <c r="K113" s="3" t="s">
        <v>62</v>
      </c>
      <c r="L113" s="3" t="s">
        <v>64</v>
      </c>
      <c r="N113" s="2" t="s">
        <v>1540</v>
      </c>
      <c r="O113" s="3" t="s">
        <v>712</v>
      </c>
      <c r="Q113" s="3" t="s">
        <v>68</v>
      </c>
      <c r="R113" s="3" t="s">
        <v>87</v>
      </c>
      <c r="S113" s="2" t="s">
        <v>1541</v>
      </c>
      <c r="T113" s="3" t="s">
        <v>70</v>
      </c>
      <c r="U113" s="4">
        <v>1</v>
      </c>
      <c r="V113" s="4">
        <v>1</v>
      </c>
      <c r="W113" s="5" t="s">
        <v>1542</v>
      </c>
      <c r="X113" s="5" t="s">
        <v>1542</v>
      </c>
      <c r="Y113" s="5" t="s">
        <v>1454</v>
      </c>
      <c r="Z113" s="5" t="s">
        <v>1454</v>
      </c>
      <c r="AA113" s="4">
        <v>302</v>
      </c>
      <c r="AB113" s="4">
        <v>256</v>
      </c>
      <c r="AC113" s="4">
        <v>257</v>
      </c>
      <c r="AD113" s="4">
        <v>2</v>
      </c>
      <c r="AE113" s="4">
        <v>2</v>
      </c>
      <c r="AF113" s="4">
        <v>18</v>
      </c>
      <c r="AG113" s="4">
        <v>18</v>
      </c>
      <c r="AH113" s="4">
        <v>8</v>
      </c>
      <c r="AI113" s="4">
        <v>8</v>
      </c>
      <c r="AJ113" s="4">
        <v>6</v>
      </c>
      <c r="AK113" s="4">
        <v>6</v>
      </c>
      <c r="AL113" s="4">
        <v>11</v>
      </c>
      <c r="AM113" s="4">
        <v>11</v>
      </c>
      <c r="AN113" s="4">
        <v>0</v>
      </c>
      <c r="AO113" s="4">
        <v>0</v>
      </c>
      <c r="AP113" s="4">
        <v>0</v>
      </c>
      <c r="AQ113" s="4">
        <v>0</v>
      </c>
      <c r="AR113" s="3" t="s">
        <v>62</v>
      </c>
      <c r="AS113" s="3" t="s">
        <v>62</v>
      </c>
      <c r="AU113" s="6" t="str">
        <f>HYPERLINK("https://creighton-primo.hosted.exlibrisgroup.com/primo-explore/search?tab=default_tab&amp;search_scope=EVERYTHING&amp;vid=01CRU&amp;lang=en_US&amp;offset=0&amp;query=any,contains,991000751369702656","Catalog Record")</f>
        <v>Catalog Record</v>
      </c>
      <c r="AV113" s="6" t="str">
        <f>HYPERLINK("http://www.worldcat.org/oclc/12933114","WorldCat Record")</f>
        <v>WorldCat Record</v>
      </c>
      <c r="AW113" s="3" t="s">
        <v>1543</v>
      </c>
      <c r="AX113" s="3" t="s">
        <v>1544</v>
      </c>
      <c r="AY113" s="3" t="s">
        <v>1545</v>
      </c>
      <c r="AZ113" s="3" t="s">
        <v>1545</v>
      </c>
      <c r="BA113" s="3" t="s">
        <v>1546</v>
      </c>
      <c r="BB113" s="3" t="s">
        <v>77</v>
      </c>
      <c r="BD113" s="3" t="s">
        <v>1547</v>
      </c>
      <c r="BE113" s="3" t="s">
        <v>1548</v>
      </c>
      <c r="BF113" s="3" t="s">
        <v>1549</v>
      </c>
    </row>
    <row r="114" spans="1:58" ht="36.75" customHeight="1" x14ac:dyDescent="0.25">
      <c r="A114" s="7" t="s">
        <v>62</v>
      </c>
      <c r="B114" s="2" t="s">
        <v>57</v>
      </c>
      <c r="C114" s="2" t="s">
        <v>58</v>
      </c>
      <c r="D114" s="2" t="s">
        <v>1550</v>
      </c>
      <c r="E114" s="2" t="s">
        <v>1551</v>
      </c>
      <c r="F114" s="2" t="s">
        <v>1552</v>
      </c>
      <c r="H114" s="3" t="s">
        <v>62</v>
      </c>
      <c r="I114" s="3" t="s">
        <v>63</v>
      </c>
      <c r="J114" s="3" t="s">
        <v>62</v>
      </c>
      <c r="K114" s="3" t="s">
        <v>62</v>
      </c>
      <c r="L114" s="3" t="s">
        <v>64</v>
      </c>
      <c r="M114" s="2" t="s">
        <v>1553</v>
      </c>
      <c r="N114" s="2" t="s">
        <v>1554</v>
      </c>
      <c r="O114" s="3" t="s">
        <v>190</v>
      </c>
      <c r="Q114" s="3" t="s">
        <v>68</v>
      </c>
      <c r="R114" s="3" t="s">
        <v>69</v>
      </c>
      <c r="T114" s="3" t="s">
        <v>70</v>
      </c>
      <c r="U114" s="4">
        <v>5</v>
      </c>
      <c r="V114" s="4">
        <v>5</v>
      </c>
      <c r="W114" s="5" t="s">
        <v>1555</v>
      </c>
      <c r="X114" s="5" t="s">
        <v>1555</v>
      </c>
      <c r="Y114" s="5" t="s">
        <v>374</v>
      </c>
      <c r="Z114" s="5" t="s">
        <v>374</v>
      </c>
      <c r="AA114" s="4">
        <v>183</v>
      </c>
      <c r="AB114" s="4">
        <v>98</v>
      </c>
      <c r="AC114" s="4">
        <v>359</v>
      </c>
      <c r="AD114" s="4">
        <v>1</v>
      </c>
      <c r="AE114" s="4">
        <v>3</v>
      </c>
      <c r="AF114" s="4">
        <v>2</v>
      </c>
      <c r="AG114" s="4">
        <v>23</v>
      </c>
      <c r="AH114" s="4">
        <v>0</v>
      </c>
      <c r="AI114" s="4">
        <v>10</v>
      </c>
      <c r="AJ114" s="4">
        <v>1</v>
      </c>
      <c r="AK114" s="4">
        <v>5</v>
      </c>
      <c r="AL114" s="4">
        <v>1</v>
      </c>
      <c r="AM114" s="4">
        <v>9</v>
      </c>
      <c r="AN114" s="4">
        <v>0</v>
      </c>
      <c r="AO114" s="4">
        <v>2</v>
      </c>
      <c r="AP114" s="4">
        <v>0</v>
      </c>
      <c r="AQ114" s="4">
        <v>0</v>
      </c>
      <c r="AR114" s="3" t="s">
        <v>62</v>
      </c>
      <c r="AS114" s="3" t="s">
        <v>62</v>
      </c>
      <c r="AU114" s="6" t="str">
        <f>HYPERLINK("https://creighton-primo.hosted.exlibrisgroup.com/primo-explore/search?tab=default_tab&amp;search_scope=EVERYTHING&amp;vid=01CRU&amp;lang=en_US&amp;offset=0&amp;query=any,contains,991002606059702656","Catalog Record")</f>
        <v>Catalog Record</v>
      </c>
      <c r="AV114" s="6" t="str">
        <f>HYPERLINK("http://www.worldcat.org/oclc/377382","WorldCat Record")</f>
        <v>WorldCat Record</v>
      </c>
      <c r="AW114" s="3" t="s">
        <v>1556</v>
      </c>
      <c r="AX114" s="3" t="s">
        <v>1557</v>
      </c>
      <c r="AY114" s="3" t="s">
        <v>1558</v>
      </c>
      <c r="AZ114" s="3" t="s">
        <v>1558</v>
      </c>
      <c r="BA114" s="3" t="s">
        <v>1559</v>
      </c>
      <c r="BB114" s="3" t="s">
        <v>77</v>
      </c>
      <c r="BE114" s="3" t="s">
        <v>1560</v>
      </c>
      <c r="BF114" s="3" t="s">
        <v>1561</v>
      </c>
    </row>
    <row r="115" spans="1:58" ht="36.75" customHeight="1" x14ac:dyDescent="0.25">
      <c r="A115" s="7" t="s">
        <v>62</v>
      </c>
      <c r="B115" s="2" t="s">
        <v>57</v>
      </c>
      <c r="C115" s="2" t="s">
        <v>58</v>
      </c>
      <c r="D115" s="2" t="s">
        <v>1562</v>
      </c>
      <c r="E115" s="2" t="s">
        <v>1563</v>
      </c>
      <c r="F115" s="2" t="s">
        <v>1564</v>
      </c>
      <c r="H115" s="3" t="s">
        <v>62</v>
      </c>
      <c r="I115" s="3" t="s">
        <v>63</v>
      </c>
      <c r="J115" s="3" t="s">
        <v>62</v>
      </c>
      <c r="K115" s="3" t="s">
        <v>62</v>
      </c>
      <c r="L115" s="3" t="s">
        <v>64</v>
      </c>
      <c r="M115" s="2" t="s">
        <v>1565</v>
      </c>
      <c r="N115" s="2" t="s">
        <v>1566</v>
      </c>
      <c r="O115" s="3" t="s">
        <v>415</v>
      </c>
      <c r="Q115" s="3" t="s">
        <v>68</v>
      </c>
      <c r="R115" s="3" t="s">
        <v>87</v>
      </c>
      <c r="S115" s="2" t="s">
        <v>1567</v>
      </c>
      <c r="T115" s="3" t="s">
        <v>70</v>
      </c>
      <c r="U115" s="4">
        <v>5</v>
      </c>
      <c r="V115" s="4">
        <v>5</v>
      </c>
      <c r="W115" s="5" t="s">
        <v>1568</v>
      </c>
      <c r="X115" s="5" t="s">
        <v>1568</v>
      </c>
      <c r="Y115" s="5" t="s">
        <v>1454</v>
      </c>
      <c r="Z115" s="5" t="s">
        <v>1454</v>
      </c>
      <c r="AA115" s="4">
        <v>55</v>
      </c>
      <c r="AB115" s="4">
        <v>47</v>
      </c>
      <c r="AC115" s="4">
        <v>818</v>
      </c>
      <c r="AD115" s="4">
        <v>1</v>
      </c>
      <c r="AE115" s="4">
        <v>5</v>
      </c>
      <c r="AF115" s="4">
        <v>2</v>
      </c>
      <c r="AG115" s="4">
        <v>41</v>
      </c>
      <c r="AH115" s="4">
        <v>2</v>
      </c>
      <c r="AI115" s="4">
        <v>18</v>
      </c>
      <c r="AJ115" s="4">
        <v>0</v>
      </c>
      <c r="AK115" s="4">
        <v>9</v>
      </c>
      <c r="AL115" s="4">
        <v>0</v>
      </c>
      <c r="AM115" s="4">
        <v>22</v>
      </c>
      <c r="AN115" s="4">
        <v>0</v>
      </c>
      <c r="AO115" s="4">
        <v>4</v>
      </c>
      <c r="AP115" s="4">
        <v>0</v>
      </c>
      <c r="AQ115" s="4">
        <v>0</v>
      </c>
      <c r="AR115" s="3" t="s">
        <v>62</v>
      </c>
      <c r="AS115" s="3" t="s">
        <v>62</v>
      </c>
      <c r="AU115" s="6" t="str">
        <f>HYPERLINK("https://creighton-primo.hosted.exlibrisgroup.com/primo-explore/search?tab=default_tab&amp;search_scope=EVERYTHING&amp;vid=01CRU&amp;lang=en_US&amp;offset=0&amp;query=any,contains,991005056689702656","Catalog Record")</f>
        <v>Catalog Record</v>
      </c>
      <c r="AV115" s="6" t="str">
        <f>HYPERLINK("http://www.worldcat.org/oclc/6900614","WorldCat Record")</f>
        <v>WorldCat Record</v>
      </c>
      <c r="AW115" s="3" t="s">
        <v>1569</v>
      </c>
      <c r="AX115" s="3" t="s">
        <v>1570</v>
      </c>
      <c r="AY115" s="3" t="s">
        <v>1571</v>
      </c>
      <c r="AZ115" s="3" t="s">
        <v>1571</v>
      </c>
      <c r="BA115" s="3" t="s">
        <v>1572</v>
      </c>
      <c r="BB115" s="3" t="s">
        <v>77</v>
      </c>
      <c r="BE115" s="3" t="s">
        <v>1573</v>
      </c>
      <c r="BF115" s="3" t="s">
        <v>1574</v>
      </c>
    </row>
    <row r="116" spans="1:58" ht="36.75" customHeight="1" x14ac:dyDescent="0.25">
      <c r="A116" s="7" t="s">
        <v>62</v>
      </c>
      <c r="B116" s="2" t="s">
        <v>57</v>
      </c>
      <c r="C116" s="2" t="s">
        <v>58</v>
      </c>
      <c r="D116" s="2" t="s">
        <v>1575</v>
      </c>
      <c r="E116" s="2" t="s">
        <v>1576</v>
      </c>
      <c r="F116" s="2" t="s">
        <v>1577</v>
      </c>
      <c r="H116" s="3" t="s">
        <v>62</v>
      </c>
      <c r="I116" s="3" t="s">
        <v>63</v>
      </c>
      <c r="J116" s="3" t="s">
        <v>62</v>
      </c>
      <c r="K116" s="3" t="s">
        <v>62</v>
      </c>
      <c r="L116" s="3" t="s">
        <v>64</v>
      </c>
      <c r="M116" s="2" t="s">
        <v>1578</v>
      </c>
      <c r="N116" s="2" t="s">
        <v>1579</v>
      </c>
      <c r="O116" s="3" t="s">
        <v>698</v>
      </c>
      <c r="Q116" s="3" t="s">
        <v>68</v>
      </c>
      <c r="R116" s="3" t="s">
        <v>87</v>
      </c>
      <c r="S116" s="2" t="s">
        <v>1580</v>
      </c>
      <c r="T116" s="3" t="s">
        <v>70</v>
      </c>
      <c r="U116" s="4">
        <v>10</v>
      </c>
      <c r="V116" s="4">
        <v>10</v>
      </c>
      <c r="W116" s="5" t="s">
        <v>1581</v>
      </c>
      <c r="X116" s="5" t="s">
        <v>1581</v>
      </c>
      <c r="Y116" s="5" t="s">
        <v>1454</v>
      </c>
      <c r="Z116" s="5" t="s">
        <v>1454</v>
      </c>
      <c r="AA116" s="4">
        <v>371</v>
      </c>
      <c r="AB116" s="4">
        <v>350</v>
      </c>
      <c r="AC116" s="4">
        <v>918</v>
      </c>
      <c r="AD116" s="4">
        <v>2</v>
      </c>
      <c r="AE116" s="4">
        <v>7</v>
      </c>
      <c r="AF116" s="4">
        <v>11</v>
      </c>
      <c r="AG116" s="4">
        <v>46</v>
      </c>
      <c r="AH116" s="4">
        <v>6</v>
      </c>
      <c r="AI116" s="4">
        <v>20</v>
      </c>
      <c r="AJ116" s="4">
        <v>3</v>
      </c>
      <c r="AK116" s="4">
        <v>10</v>
      </c>
      <c r="AL116" s="4">
        <v>6</v>
      </c>
      <c r="AM116" s="4">
        <v>25</v>
      </c>
      <c r="AN116" s="4">
        <v>0</v>
      </c>
      <c r="AO116" s="4">
        <v>3</v>
      </c>
      <c r="AP116" s="4">
        <v>0</v>
      </c>
      <c r="AQ116" s="4">
        <v>0</v>
      </c>
      <c r="AR116" s="3" t="s">
        <v>62</v>
      </c>
      <c r="AS116" s="3" t="s">
        <v>62</v>
      </c>
      <c r="AU116" s="6" t="str">
        <f>HYPERLINK("https://creighton-primo.hosted.exlibrisgroup.com/primo-explore/search?tab=default_tab&amp;search_scope=EVERYTHING&amp;vid=01CRU&amp;lang=en_US&amp;offset=0&amp;query=any,contains,991005354989702656","Catalog Record")</f>
        <v>Catalog Record</v>
      </c>
      <c r="AV116" s="6" t="str">
        <f>HYPERLINK("http://www.worldcat.org/oclc/377541","WorldCat Record")</f>
        <v>WorldCat Record</v>
      </c>
      <c r="AW116" s="3" t="s">
        <v>1582</v>
      </c>
      <c r="AX116" s="3" t="s">
        <v>1583</v>
      </c>
      <c r="AY116" s="3" t="s">
        <v>1584</v>
      </c>
      <c r="AZ116" s="3" t="s">
        <v>1584</v>
      </c>
      <c r="BA116" s="3" t="s">
        <v>1585</v>
      </c>
      <c r="BB116" s="3" t="s">
        <v>77</v>
      </c>
      <c r="BE116" s="3" t="s">
        <v>1586</v>
      </c>
      <c r="BF116" s="3" t="s">
        <v>1587</v>
      </c>
    </row>
    <row r="117" spans="1:58" ht="36.75" customHeight="1" x14ac:dyDescent="0.25">
      <c r="A117" s="7" t="s">
        <v>62</v>
      </c>
      <c r="B117" s="2" t="s">
        <v>57</v>
      </c>
      <c r="C117" s="2" t="s">
        <v>58</v>
      </c>
      <c r="D117" s="2" t="s">
        <v>1588</v>
      </c>
      <c r="E117" s="2" t="s">
        <v>1589</v>
      </c>
      <c r="F117" s="2" t="s">
        <v>1590</v>
      </c>
      <c r="H117" s="3" t="s">
        <v>62</v>
      </c>
      <c r="I117" s="3" t="s">
        <v>63</v>
      </c>
      <c r="J117" s="3" t="s">
        <v>62</v>
      </c>
      <c r="K117" s="3" t="s">
        <v>62</v>
      </c>
      <c r="L117" s="3" t="s">
        <v>64</v>
      </c>
      <c r="M117" s="2" t="s">
        <v>1591</v>
      </c>
      <c r="N117" s="2" t="s">
        <v>1592</v>
      </c>
      <c r="O117" s="3" t="s">
        <v>1593</v>
      </c>
      <c r="Q117" s="3" t="s">
        <v>68</v>
      </c>
      <c r="R117" s="3" t="s">
        <v>69</v>
      </c>
      <c r="T117" s="3" t="s">
        <v>70</v>
      </c>
      <c r="U117" s="4">
        <v>5</v>
      </c>
      <c r="V117" s="4">
        <v>5</v>
      </c>
      <c r="W117" s="5" t="s">
        <v>1594</v>
      </c>
      <c r="X117" s="5" t="s">
        <v>1594</v>
      </c>
      <c r="Y117" s="5" t="s">
        <v>1454</v>
      </c>
      <c r="Z117" s="5" t="s">
        <v>1454</v>
      </c>
      <c r="AA117" s="4">
        <v>146</v>
      </c>
      <c r="AB117" s="4">
        <v>122</v>
      </c>
      <c r="AC117" s="4">
        <v>196</v>
      </c>
      <c r="AD117" s="4">
        <v>2</v>
      </c>
      <c r="AE117" s="4">
        <v>2</v>
      </c>
      <c r="AF117" s="4">
        <v>20</v>
      </c>
      <c r="AG117" s="4">
        <v>27</v>
      </c>
      <c r="AH117" s="4">
        <v>3</v>
      </c>
      <c r="AI117" s="4">
        <v>9</v>
      </c>
      <c r="AJ117" s="4">
        <v>7</v>
      </c>
      <c r="AK117" s="4">
        <v>9</v>
      </c>
      <c r="AL117" s="4">
        <v>15</v>
      </c>
      <c r="AM117" s="4">
        <v>20</v>
      </c>
      <c r="AN117" s="4">
        <v>0</v>
      </c>
      <c r="AO117" s="4">
        <v>0</v>
      </c>
      <c r="AP117" s="4">
        <v>0</v>
      </c>
      <c r="AQ117" s="4">
        <v>0</v>
      </c>
      <c r="AR117" s="3" t="s">
        <v>62</v>
      </c>
      <c r="AS117" s="3" t="s">
        <v>84</v>
      </c>
      <c r="AT117" s="6" t="str">
        <f>HYPERLINK("http://catalog.hathitrust.org/Record/100952457","HathiTrust Record")</f>
        <v>HathiTrust Record</v>
      </c>
      <c r="AU117" s="6" t="str">
        <f>HYPERLINK("https://creighton-primo.hosted.exlibrisgroup.com/primo-explore/search?tab=default_tab&amp;search_scope=EVERYTHING&amp;vid=01CRU&amp;lang=en_US&amp;offset=0&amp;query=any,contains,991003681029702656","Catalog Record")</f>
        <v>Catalog Record</v>
      </c>
      <c r="AV117" s="6" t="str">
        <f>HYPERLINK("http://www.worldcat.org/oclc/1306606","WorldCat Record")</f>
        <v>WorldCat Record</v>
      </c>
      <c r="AW117" s="3" t="s">
        <v>1595</v>
      </c>
      <c r="AX117" s="3" t="s">
        <v>1596</v>
      </c>
      <c r="AY117" s="3" t="s">
        <v>1597</v>
      </c>
      <c r="AZ117" s="3" t="s">
        <v>1597</v>
      </c>
      <c r="BA117" s="3" t="s">
        <v>1598</v>
      </c>
      <c r="BB117" s="3" t="s">
        <v>77</v>
      </c>
      <c r="BE117" s="3" t="s">
        <v>1599</v>
      </c>
      <c r="BF117" s="3" t="s">
        <v>1600</v>
      </c>
    </row>
    <row r="118" spans="1:58" ht="36.75" customHeight="1" x14ac:dyDescent="0.25">
      <c r="A118" s="7" t="s">
        <v>62</v>
      </c>
      <c r="B118" s="2" t="s">
        <v>57</v>
      </c>
      <c r="C118" s="2" t="s">
        <v>58</v>
      </c>
      <c r="D118" s="2" t="s">
        <v>1601</v>
      </c>
      <c r="E118" s="2" t="s">
        <v>1602</v>
      </c>
      <c r="F118" s="2" t="s">
        <v>1603</v>
      </c>
      <c r="H118" s="3" t="s">
        <v>62</v>
      </c>
      <c r="I118" s="3" t="s">
        <v>63</v>
      </c>
      <c r="J118" s="3" t="s">
        <v>62</v>
      </c>
      <c r="K118" s="3" t="s">
        <v>62</v>
      </c>
      <c r="L118" s="3" t="s">
        <v>64</v>
      </c>
      <c r="M118" s="2" t="s">
        <v>1604</v>
      </c>
      <c r="N118" s="2" t="s">
        <v>1605</v>
      </c>
      <c r="O118" s="3" t="s">
        <v>1606</v>
      </c>
      <c r="Q118" s="3" t="s">
        <v>68</v>
      </c>
      <c r="R118" s="3" t="s">
        <v>305</v>
      </c>
      <c r="T118" s="3" t="s">
        <v>70</v>
      </c>
      <c r="U118" s="4">
        <v>2</v>
      </c>
      <c r="V118" s="4">
        <v>2</v>
      </c>
      <c r="W118" s="5" t="s">
        <v>1607</v>
      </c>
      <c r="X118" s="5" t="s">
        <v>1607</v>
      </c>
      <c r="Y118" s="5" t="s">
        <v>1608</v>
      </c>
      <c r="Z118" s="5" t="s">
        <v>1608</v>
      </c>
      <c r="AA118" s="4">
        <v>325</v>
      </c>
      <c r="AB118" s="4">
        <v>246</v>
      </c>
      <c r="AC118" s="4">
        <v>915</v>
      </c>
      <c r="AD118" s="4">
        <v>2</v>
      </c>
      <c r="AE118" s="4">
        <v>29</v>
      </c>
      <c r="AF118" s="4">
        <v>20</v>
      </c>
      <c r="AG118" s="4">
        <v>52</v>
      </c>
      <c r="AH118" s="4">
        <v>7</v>
      </c>
      <c r="AI118" s="4">
        <v>19</v>
      </c>
      <c r="AJ118" s="4">
        <v>6</v>
      </c>
      <c r="AK118" s="4">
        <v>10</v>
      </c>
      <c r="AL118" s="4">
        <v>12</v>
      </c>
      <c r="AM118" s="4">
        <v>18</v>
      </c>
      <c r="AN118" s="4">
        <v>1</v>
      </c>
      <c r="AO118" s="4">
        <v>14</v>
      </c>
      <c r="AP118" s="4">
        <v>0</v>
      </c>
      <c r="AQ118" s="4">
        <v>1</v>
      </c>
      <c r="AR118" s="3" t="s">
        <v>62</v>
      </c>
      <c r="AS118" s="3" t="s">
        <v>62</v>
      </c>
      <c r="AU118" s="6" t="str">
        <f>HYPERLINK("https://creighton-primo.hosted.exlibrisgroup.com/primo-explore/search?tab=default_tab&amp;search_scope=EVERYTHING&amp;vid=01CRU&amp;lang=en_US&amp;offset=0&amp;query=any,contains,991001999919702656","Catalog Record")</f>
        <v>Catalog Record</v>
      </c>
      <c r="AV118" s="6" t="str">
        <f>HYPERLINK("http://www.worldcat.org/oclc/25410712","WorldCat Record")</f>
        <v>WorldCat Record</v>
      </c>
      <c r="AW118" s="3" t="s">
        <v>1609</v>
      </c>
      <c r="AX118" s="3" t="s">
        <v>1610</v>
      </c>
      <c r="AY118" s="3" t="s">
        <v>1611</v>
      </c>
      <c r="AZ118" s="3" t="s">
        <v>1611</v>
      </c>
      <c r="BA118" s="3" t="s">
        <v>1612</v>
      </c>
      <c r="BB118" s="3" t="s">
        <v>77</v>
      </c>
      <c r="BD118" s="3" t="s">
        <v>1613</v>
      </c>
      <c r="BE118" s="3" t="s">
        <v>1614</v>
      </c>
      <c r="BF118" s="3" t="s">
        <v>1615</v>
      </c>
    </row>
    <row r="119" spans="1:58" ht="36.75" customHeight="1" x14ac:dyDescent="0.25">
      <c r="A119" s="7" t="s">
        <v>62</v>
      </c>
      <c r="B119" s="2" t="s">
        <v>57</v>
      </c>
      <c r="C119" s="2" t="s">
        <v>58</v>
      </c>
      <c r="D119" s="2" t="s">
        <v>1616</v>
      </c>
      <c r="E119" s="2" t="s">
        <v>1617</v>
      </c>
      <c r="F119" s="2" t="s">
        <v>1618</v>
      </c>
      <c r="H119" s="3" t="s">
        <v>62</v>
      </c>
      <c r="I119" s="3" t="s">
        <v>63</v>
      </c>
      <c r="J119" s="3" t="s">
        <v>62</v>
      </c>
      <c r="K119" s="3" t="s">
        <v>62</v>
      </c>
      <c r="L119" s="3" t="s">
        <v>64</v>
      </c>
      <c r="M119" s="2" t="s">
        <v>1619</v>
      </c>
      <c r="N119" s="2" t="s">
        <v>1620</v>
      </c>
      <c r="O119" s="3" t="s">
        <v>262</v>
      </c>
      <c r="Q119" s="3" t="s">
        <v>68</v>
      </c>
      <c r="R119" s="3" t="s">
        <v>69</v>
      </c>
      <c r="T119" s="3" t="s">
        <v>70</v>
      </c>
      <c r="U119" s="4">
        <v>2</v>
      </c>
      <c r="V119" s="4">
        <v>2</v>
      </c>
      <c r="W119" s="5" t="s">
        <v>1621</v>
      </c>
      <c r="X119" s="5" t="s">
        <v>1621</v>
      </c>
      <c r="Y119" s="5" t="s">
        <v>1622</v>
      </c>
      <c r="Z119" s="5" t="s">
        <v>1622</v>
      </c>
      <c r="AA119" s="4">
        <v>486</v>
      </c>
      <c r="AB119" s="4">
        <v>464</v>
      </c>
      <c r="AC119" s="4">
        <v>707</v>
      </c>
      <c r="AD119" s="4">
        <v>2</v>
      </c>
      <c r="AE119" s="4">
        <v>5</v>
      </c>
      <c r="AF119" s="4">
        <v>26</v>
      </c>
      <c r="AG119" s="4">
        <v>37</v>
      </c>
      <c r="AH119" s="4">
        <v>10</v>
      </c>
      <c r="AI119" s="4">
        <v>15</v>
      </c>
      <c r="AJ119" s="4">
        <v>5</v>
      </c>
      <c r="AK119" s="4">
        <v>8</v>
      </c>
      <c r="AL119" s="4">
        <v>17</v>
      </c>
      <c r="AM119" s="4">
        <v>23</v>
      </c>
      <c r="AN119" s="4">
        <v>0</v>
      </c>
      <c r="AO119" s="4">
        <v>3</v>
      </c>
      <c r="AP119" s="4">
        <v>0</v>
      </c>
      <c r="AQ119" s="4">
        <v>0</v>
      </c>
      <c r="AR119" s="3" t="s">
        <v>62</v>
      </c>
      <c r="AS119" s="3" t="s">
        <v>84</v>
      </c>
      <c r="AT119" s="6" t="str">
        <f>HYPERLINK("http://catalog.hathitrust.org/Record/009906746","HathiTrust Record")</f>
        <v>HathiTrust Record</v>
      </c>
      <c r="AU119" s="6" t="str">
        <f>HYPERLINK("https://creighton-primo.hosted.exlibrisgroup.com/primo-explore/search?tab=default_tab&amp;search_scope=EVERYTHING&amp;vid=01CRU&amp;lang=en_US&amp;offset=0&amp;query=any,contains,991001093519702656","Catalog Record")</f>
        <v>Catalog Record</v>
      </c>
      <c r="AV119" s="6" t="str">
        <f>HYPERLINK("http://www.worldcat.org/oclc/7818533","WorldCat Record")</f>
        <v>WorldCat Record</v>
      </c>
      <c r="AW119" s="3" t="s">
        <v>1623</v>
      </c>
      <c r="AX119" s="3" t="s">
        <v>1624</v>
      </c>
      <c r="AY119" s="3" t="s">
        <v>1625</v>
      </c>
      <c r="AZ119" s="3" t="s">
        <v>1625</v>
      </c>
      <c r="BA119" s="3" t="s">
        <v>1626</v>
      </c>
      <c r="BB119" s="3" t="s">
        <v>77</v>
      </c>
      <c r="BE119" s="3" t="s">
        <v>1627</v>
      </c>
      <c r="BF119" s="3" t="s">
        <v>1628</v>
      </c>
    </row>
    <row r="120" spans="1:58" ht="36.75" customHeight="1" x14ac:dyDescent="0.25">
      <c r="A120" s="7" t="s">
        <v>62</v>
      </c>
      <c r="B120" s="2" t="s">
        <v>57</v>
      </c>
      <c r="C120" s="2" t="s">
        <v>58</v>
      </c>
      <c r="D120" s="2" t="s">
        <v>1629</v>
      </c>
      <c r="E120" s="2" t="s">
        <v>1630</v>
      </c>
      <c r="F120" s="2" t="s">
        <v>1631</v>
      </c>
      <c r="H120" s="3" t="s">
        <v>62</v>
      </c>
      <c r="I120" s="3" t="s">
        <v>63</v>
      </c>
      <c r="J120" s="3" t="s">
        <v>62</v>
      </c>
      <c r="K120" s="3" t="s">
        <v>62</v>
      </c>
      <c r="L120" s="3" t="s">
        <v>64</v>
      </c>
      <c r="M120" s="2" t="s">
        <v>1632</v>
      </c>
      <c r="N120" s="2" t="s">
        <v>1633</v>
      </c>
      <c r="O120" s="3" t="s">
        <v>161</v>
      </c>
      <c r="Q120" s="3" t="s">
        <v>68</v>
      </c>
      <c r="R120" s="3" t="s">
        <v>69</v>
      </c>
      <c r="S120" s="2" t="s">
        <v>1634</v>
      </c>
      <c r="T120" s="3" t="s">
        <v>70</v>
      </c>
      <c r="U120" s="4">
        <v>1</v>
      </c>
      <c r="V120" s="4">
        <v>1</v>
      </c>
      <c r="W120" s="5" t="s">
        <v>1635</v>
      </c>
      <c r="X120" s="5" t="s">
        <v>1635</v>
      </c>
      <c r="Y120" s="5" t="s">
        <v>1636</v>
      </c>
      <c r="Z120" s="5" t="s">
        <v>1636</v>
      </c>
      <c r="AA120" s="4">
        <v>188</v>
      </c>
      <c r="AB120" s="4">
        <v>156</v>
      </c>
      <c r="AC120" s="4">
        <v>288</v>
      </c>
      <c r="AD120" s="4">
        <v>1</v>
      </c>
      <c r="AE120" s="4">
        <v>1</v>
      </c>
      <c r="AF120" s="4">
        <v>9</v>
      </c>
      <c r="AG120" s="4">
        <v>11</v>
      </c>
      <c r="AH120" s="4">
        <v>4</v>
      </c>
      <c r="AI120" s="4">
        <v>4</v>
      </c>
      <c r="AJ120" s="4">
        <v>1</v>
      </c>
      <c r="AK120" s="4">
        <v>2</v>
      </c>
      <c r="AL120" s="4">
        <v>5</v>
      </c>
      <c r="AM120" s="4">
        <v>6</v>
      </c>
      <c r="AN120" s="4">
        <v>0</v>
      </c>
      <c r="AO120" s="4">
        <v>0</v>
      </c>
      <c r="AP120" s="4">
        <v>0</v>
      </c>
      <c r="AQ120" s="4">
        <v>0</v>
      </c>
      <c r="AR120" s="3" t="s">
        <v>62</v>
      </c>
      <c r="AS120" s="3" t="s">
        <v>84</v>
      </c>
      <c r="AT120" s="6" t="str">
        <f>HYPERLINK("http://catalog.hathitrust.org/Record/000007568","HathiTrust Record")</f>
        <v>HathiTrust Record</v>
      </c>
      <c r="AU120" s="6" t="str">
        <f>HYPERLINK("https://creighton-primo.hosted.exlibrisgroup.com/primo-explore/search?tab=default_tab&amp;search_scope=EVERYTHING&amp;vid=01CRU&amp;lang=en_US&amp;offset=0&amp;query=any,contains,991002988239702656","Catalog Record")</f>
        <v>Catalog Record</v>
      </c>
      <c r="AV120" s="6" t="str">
        <f>HYPERLINK("http://www.worldcat.org/oclc/558831","WorldCat Record")</f>
        <v>WorldCat Record</v>
      </c>
      <c r="AW120" s="3" t="s">
        <v>1637</v>
      </c>
      <c r="AX120" s="3" t="s">
        <v>1638</v>
      </c>
      <c r="AY120" s="3" t="s">
        <v>1639</v>
      </c>
      <c r="AZ120" s="3" t="s">
        <v>1639</v>
      </c>
      <c r="BA120" s="3" t="s">
        <v>1640</v>
      </c>
      <c r="BB120" s="3" t="s">
        <v>77</v>
      </c>
      <c r="BE120" s="3" t="s">
        <v>1641</v>
      </c>
      <c r="BF120" s="3" t="s">
        <v>1642</v>
      </c>
    </row>
    <row r="121" spans="1:58" ht="36.75" customHeight="1" x14ac:dyDescent="0.25">
      <c r="A121" s="7" t="s">
        <v>62</v>
      </c>
      <c r="B121" s="2" t="s">
        <v>57</v>
      </c>
      <c r="C121" s="2" t="s">
        <v>58</v>
      </c>
      <c r="D121" s="2" t="s">
        <v>1643</v>
      </c>
      <c r="E121" s="2" t="s">
        <v>1644</v>
      </c>
      <c r="F121" s="2" t="s">
        <v>1645</v>
      </c>
      <c r="H121" s="3" t="s">
        <v>62</v>
      </c>
      <c r="I121" s="3" t="s">
        <v>63</v>
      </c>
      <c r="J121" s="3" t="s">
        <v>62</v>
      </c>
      <c r="K121" s="3" t="s">
        <v>62</v>
      </c>
      <c r="L121" s="3" t="s">
        <v>64</v>
      </c>
      <c r="M121" s="2" t="s">
        <v>1646</v>
      </c>
      <c r="N121" s="2" t="s">
        <v>1647</v>
      </c>
      <c r="O121" s="3" t="s">
        <v>262</v>
      </c>
      <c r="Q121" s="3" t="s">
        <v>68</v>
      </c>
      <c r="R121" s="3" t="s">
        <v>359</v>
      </c>
      <c r="S121" s="2" t="s">
        <v>1648</v>
      </c>
      <c r="T121" s="3" t="s">
        <v>70</v>
      </c>
      <c r="U121" s="4">
        <v>1</v>
      </c>
      <c r="V121" s="4">
        <v>1</v>
      </c>
      <c r="W121" s="5" t="s">
        <v>1649</v>
      </c>
      <c r="X121" s="5" t="s">
        <v>1649</v>
      </c>
      <c r="Y121" s="5" t="s">
        <v>1622</v>
      </c>
      <c r="Z121" s="5" t="s">
        <v>1622</v>
      </c>
      <c r="AA121" s="4">
        <v>308</v>
      </c>
      <c r="AB121" s="4">
        <v>222</v>
      </c>
      <c r="AC121" s="4">
        <v>224</v>
      </c>
      <c r="AD121" s="4">
        <v>1</v>
      </c>
      <c r="AE121" s="4">
        <v>1</v>
      </c>
      <c r="AF121" s="4">
        <v>14</v>
      </c>
      <c r="AG121" s="4">
        <v>14</v>
      </c>
      <c r="AH121" s="4">
        <v>5</v>
      </c>
      <c r="AI121" s="4">
        <v>5</v>
      </c>
      <c r="AJ121" s="4">
        <v>4</v>
      </c>
      <c r="AK121" s="4">
        <v>4</v>
      </c>
      <c r="AL121" s="4">
        <v>8</v>
      </c>
      <c r="AM121" s="4">
        <v>8</v>
      </c>
      <c r="AN121" s="4">
        <v>0</v>
      </c>
      <c r="AO121" s="4">
        <v>0</v>
      </c>
      <c r="AP121" s="4">
        <v>0</v>
      </c>
      <c r="AQ121" s="4">
        <v>0</v>
      </c>
      <c r="AR121" s="3" t="s">
        <v>62</v>
      </c>
      <c r="AS121" s="3" t="s">
        <v>84</v>
      </c>
      <c r="AT121" s="6" t="str">
        <f>HYPERLINK("http://catalog.hathitrust.org/Record/001399181","HathiTrust Record")</f>
        <v>HathiTrust Record</v>
      </c>
      <c r="AU121" s="6" t="str">
        <f>HYPERLINK("https://creighton-primo.hosted.exlibrisgroup.com/primo-explore/search?tab=default_tab&amp;search_scope=EVERYTHING&amp;vid=01CRU&amp;lang=en_US&amp;offset=0&amp;query=any,contains,991002269389702656","Catalog Record")</f>
        <v>Catalog Record</v>
      </c>
      <c r="AV121" s="6" t="str">
        <f>HYPERLINK("http://www.worldcat.org/oclc/307769","WorldCat Record")</f>
        <v>WorldCat Record</v>
      </c>
      <c r="AW121" s="3" t="s">
        <v>1650</v>
      </c>
      <c r="AX121" s="3" t="s">
        <v>1651</v>
      </c>
      <c r="AY121" s="3" t="s">
        <v>1652</v>
      </c>
      <c r="AZ121" s="3" t="s">
        <v>1652</v>
      </c>
      <c r="BA121" s="3" t="s">
        <v>1653</v>
      </c>
      <c r="BB121" s="3" t="s">
        <v>77</v>
      </c>
      <c r="BE121" s="3" t="s">
        <v>1654</v>
      </c>
      <c r="BF121" s="3" t="s">
        <v>1655</v>
      </c>
    </row>
    <row r="122" spans="1:58" ht="36.75" customHeight="1" x14ac:dyDescent="0.25">
      <c r="A122" s="7" t="s">
        <v>62</v>
      </c>
      <c r="B122" s="2" t="s">
        <v>57</v>
      </c>
      <c r="C122" s="2" t="s">
        <v>58</v>
      </c>
      <c r="D122" s="2" t="s">
        <v>1656</v>
      </c>
      <c r="E122" s="2" t="s">
        <v>1657</v>
      </c>
      <c r="F122" s="2" t="s">
        <v>1658</v>
      </c>
      <c r="H122" s="3" t="s">
        <v>62</v>
      </c>
      <c r="I122" s="3" t="s">
        <v>63</v>
      </c>
      <c r="J122" s="3" t="s">
        <v>62</v>
      </c>
      <c r="K122" s="3" t="s">
        <v>62</v>
      </c>
      <c r="L122" s="3" t="s">
        <v>64</v>
      </c>
      <c r="M122" s="2" t="s">
        <v>1659</v>
      </c>
      <c r="N122" s="2" t="s">
        <v>1660</v>
      </c>
      <c r="O122" s="3" t="s">
        <v>602</v>
      </c>
      <c r="Q122" s="3" t="s">
        <v>68</v>
      </c>
      <c r="R122" s="3" t="s">
        <v>573</v>
      </c>
      <c r="S122" s="2" t="s">
        <v>1661</v>
      </c>
      <c r="T122" s="3" t="s">
        <v>70</v>
      </c>
      <c r="U122" s="4">
        <v>4</v>
      </c>
      <c r="V122" s="4">
        <v>4</v>
      </c>
      <c r="W122" s="5" t="s">
        <v>1662</v>
      </c>
      <c r="X122" s="5" t="s">
        <v>1662</v>
      </c>
      <c r="Y122" s="5" t="s">
        <v>1622</v>
      </c>
      <c r="Z122" s="5" t="s">
        <v>1622</v>
      </c>
      <c r="AA122" s="4">
        <v>284</v>
      </c>
      <c r="AB122" s="4">
        <v>216</v>
      </c>
      <c r="AC122" s="4">
        <v>217</v>
      </c>
      <c r="AD122" s="4">
        <v>2</v>
      </c>
      <c r="AE122" s="4">
        <v>2</v>
      </c>
      <c r="AF122" s="4">
        <v>16</v>
      </c>
      <c r="AG122" s="4">
        <v>16</v>
      </c>
      <c r="AH122" s="4">
        <v>6</v>
      </c>
      <c r="AI122" s="4">
        <v>6</v>
      </c>
      <c r="AJ122" s="4">
        <v>3</v>
      </c>
      <c r="AK122" s="4">
        <v>3</v>
      </c>
      <c r="AL122" s="4">
        <v>10</v>
      </c>
      <c r="AM122" s="4">
        <v>10</v>
      </c>
      <c r="AN122" s="4">
        <v>1</v>
      </c>
      <c r="AO122" s="4">
        <v>1</v>
      </c>
      <c r="AP122" s="4">
        <v>0</v>
      </c>
      <c r="AQ122" s="4">
        <v>0</v>
      </c>
      <c r="AR122" s="3" t="s">
        <v>62</v>
      </c>
      <c r="AS122" s="3" t="s">
        <v>84</v>
      </c>
      <c r="AT122" s="6" t="str">
        <f>HYPERLINK("http://catalog.hathitrust.org/Record/000558202","HathiTrust Record")</f>
        <v>HathiTrust Record</v>
      </c>
      <c r="AU122" s="6" t="str">
        <f>HYPERLINK("https://creighton-primo.hosted.exlibrisgroup.com/primo-explore/search?tab=default_tab&amp;search_scope=EVERYTHING&amp;vid=01CRU&amp;lang=en_US&amp;offset=0&amp;query=any,contains,991000312599702656","Catalog Record")</f>
        <v>Catalog Record</v>
      </c>
      <c r="AV122" s="6" t="str">
        <f>HYPERLINK("http://www.worldcat.org/oclc/10100704","WorldCat Record")</f>
        <v>WorldCat Record</v>
      </c>
      <c r="AW122" s="3" t="s">
        <v>1663</v>
      </c>
      <c r="AX122" s="3" t="s">
        <v>1664</v>
      </c>
      <c r="AY122" s="3" t="s">
        <v>1665</v>
      </c>
      <c r="AZ122" s="3" t="s">
        <v>1665</v>
      </c>
      <c r="BA122" s="3" t="s">
        <v>1666</v>
      </c>
      <c r="BB122" s="3" t="s">
        <v>77</v>
      </c>
      <c r="BD122" s="3" t="s">
        <v>1667</v>
      </c>
      <c r="BE122" s="3" t="s">
        <v>1668</v>
      </c>
      <c r="BF122" s="3" t="s">
        <v>1669</v>
      </c>
    </row>
    <row r="123" spans="1:58" ht="36.75" customHeight="1" x14ac:dyDescent="0.25">
      <c r="A123" s="7" t="s">
        <v>62</v>
      </c>
      <c r="B123" s="2" t="s">
        <v>57</v>
      </c>
      <c r="C123" s="2" t="s">
        <v>58</v>
      </c>
      <c r="D123" s="2" t="s">
        <v>1670</v>
      </c>
      <c r="E123" s="2" t="s">
        <v>1671</v>
      </c>
      <c r="F123" s="2" t="s">
        <v>1672</v>
      </c>
      <c r="H123" s="3" t="s">
        <v>62</v>
      </c>
      <c r="I123" s="3" t="s">
        <v>63</v>
      </c>
      <c r="J123" s="3" t="s">
        <v>62</v>
      </c>
      <c r="K123" s="3" t="s">
        <v>62</v>
      </c>
      <c r="L123" s="3" t="s">
        <v>64</v>
      </c>
      <c r="N123" s="2" t="s">
        <v>1673</v>
      </c>
      <c r="O123" s="3" t="s">
        <v>319</v>
      </c>
      <c r="P123" s="2" t="s">
        <v>1397</v>
      </c>
      <c r="Q123" s="3" t="s">
        <v>68</v>
      </c>
      <c r="R123" s="3" t="s">
        <v>1674</v>
      </c>
      <c r="T123" s="3" t="s">
        <v>70</v>
      </c>
      <c r="U123" s="4">
        <v>2</v>
      </c>
      <c r="V123" s="4">
        <v>2</v>
      </c>
      <c r="W123" s="5" t="s">
        <v>685</v>
      </c>
      <c r="X123" s="5" t="s">
        <v>685</v>
      </c>
      <c r="Y123" s="5" t="s">
        <v>1622</v>
      </c>
      <c r="Z123" s="5" t="s">
        <v>1622</v>
      </c>
      <c r="AA123" s="4">
        <v>305</v>
      </c>
      <c r="AB123" s="4">
        <v>252</v>
      </c>
      <c r="AC123" s="4">
        <v>255</v>
      </c>
      <c r="AD123" s="4">
        <v>1</v>
      </c>
      <c r="AE123" s="4">
        <v>1</v>
      </c>
      <c r="AF123" s="4">
        <v>11</v>
      </c>
      <c r="AG123" s="4">
        <v>11</v>
      </c>
      <c r="AH123" s="4">
        <v>5</v>
      </c>
      <c r="AI123" s="4">
        <v>5</v>
      </c>
      <c r="AJ123" s="4">
        <v>3</v>
      </c>
      <c r="AK123" s="4">
        <v>3</v>
      </c>
      <c r="AL123" s="4">
        <v>5</v>
      </c>
      <c r="AM123" s="4">
        <v>5</v>
      </c>
      <c r="AN123" s="4">
        <v>0</v>
      </c>
      <c r="AO123" s="4">
        <v>0</v>
      </c>
      <c r="AP123" s="4">
        <v>0</v>
      </c>
      <c r="AQ123" s="4">
        <v>0</v>
      </c>
      <c r="AR123" s="3" t="s">
        <v>62</v>
      </c>
      <c r="AS123" s="3" t="s">
        <v>84</v>
      </c>
      <c r="AT123" s="6" t="str">
        <f>HYPERLINK("http://catalog.hathitrust.org/Record/000568906","HathiTrust Record")</f>
        <v>HathiTrust Record</v>
      </c>
      <c r="AU123" s="6" t="str">
        <f>HYPERLINK("https://creighton-primo.hosted.exlibrisgroup.com/primo-explore/search?tab=default_tab&amp;search_scope=EVERYTHING&amp;vid=01CRU&amp;lang=en_US&amp;offset=0&amp;query=any,contains,991004802929702656","Catalog Record")</f>
        <v>Catalog Record</v>
      </c>
      <c r="AV123" s="6" t="str">
        <f>HYPERLINK("http://www.worldcat.org/oclc/4859611","WorldCat Record")</f>
        <v>WorldCat Record</v>
      </c>
      <c r="AW123" s="3" t="s">
        <v>1675</v>
      </c>
      <c r="AX123" s="3" t="s">
        <v>1676</v>
      </c>
      <c r="AY123" s="3" t="s">
        <v>1677</v>
      </c>
      <c r="AZ123" s="3" t="s">
        <v>1677</v>
      </c>
      <c r="BA123" s="3" t="s">
        <v>1678</v>
      </c>
      <c r="BB123" s="3" t="s">
        <v>77</v>
      </c>
      <c r="BE123" s="3" t="s">
        <v>1679</v>
      </c>
      <c r="BF123" s="3" t="s">
        <v>1680</v>
      </c>
    </row>
    <row r="124" spans="1:58" ht="36.75" customHeight="1" x14ac:dyDescent="0.25">
      <c r="A124" s="7" t="s">
        <v>62</v>
      </c>
      <c r="B124" s="2" t="s">
        <v>57</v>
      </c>
      <c r="C124" s="2" t="s">
        <v>58</v>
      </c>
      <c r="D124" s="2" t="s">
        <v>1681</v>
      </c>
      <c r="E124" s="2" t="s">
        <v>1682</v>
      </c>
      <c r="F124" s="2" t="s">
        <v>1683</v>
      </c>
      <c r="H124" s="3" t="s">
        <v>62</v>
      </c>
      <c r="I124" s="3" t="s">
        <v>63</v>
      </c>
      <c r="J124" s="3" t="s">
        <v>62</v>
      </c>
      <c r="K124" s="3" t="s">
        <v>62</v>
      </c>
      <c r="L124" s="3" t="s">
        <v>64</v>
      </c>
      <c r="M124" s="2" t="s">
        <v>1684</v>
      </c>
      <c r="N124" s="2" t="s">
        <v>738</v>
      </c>
      <c r="O124" s="3" t="s">
        <v>726</v>
      </c>
      <c r="Q124" s="3" t="s">
        <v>68</v>
      </c>
      <c r="R124" s="3" t="s">
        <v>87</v>
      </c>
      <c r="S124" s="2" t="s">
        <v>739</v>
      </c>
      <c r="T124" s="3" t="s">
        <v>70</v>
      </c>
      <c r="U124" s="4">
        <v>1</v>
      </c>
      <c r="V124" s="4">
        <v>1</v>
      </c>
      <c r="W124" s="5" t="s">
        <v>1685</v>
      </c>
      <c r="X124" s="5" t="s">
        <v>1685</v>
      </c>
      <c r="Y124" s="5" t="s">
        <v>1622</v>
      </c>
      <c r="Z124" s="5" t="s">
        <v>1622</v>
      </c>
      <c r="AA124" s="4">
        <v>143</v>
      </c>
      <c r="AB124" s="4">
        <v>133</v>
      </c>
      <c r="AC124" s="4">
        <v>177</v>
      </c>
      <c r="AD124" s="4">
        <v>1</v>
      </c>
      <c r="AE124" s="4">
        <v>1</v>
      </c>
      <c r="AF124" s="4">
        <v>3</v>
      </c>
      <c r="AG124" s="4">
        <v>4</v>
      </c>
      <c r="AH124" s="4">
        <v>0</v>
      </c>
      <c r="AI124" s="4">
        <v>0</v>
      </c>
      <c r="AJ124" s="4">
        <v>1</v>
      </c>
      <c r="AK124" s="4">
        <v>1</v>
      </c>
      <c r="AL124" s="4">
        <v>2</v>
      </c>
      <c r="AM124" s="4">
        <v>3</v>
      </c>
      <c r="AN124" s="4">
        <v>0</v>
      </c>
      <c r="AO124" s="4">
        <v>0</v>
      </c>
      <c r="AP124" s="4">
        <v>0</v>
      </c>
      <c r="AQ124" s="4">
        <v>0</v>
      </c>
      <c r="AR124" s="3" t="s">
        <v>62</v>
      </c>
      <c r="AS124" s="3" t="s">
        <v>84</v>
      </c>
      <c r="AT124" s="6" t="str">
        <f>HYPERLINK("http://catalog.hathitrust.org/Record/101870920","HathiTrust Record")</f>
        <v>HathiTrust Record</v>
      </c>
      <c r="AU124" s="6" t="str">
        <f>HYPERLINK("https://creighton-primo.hosted.exlibrisgroup.com/primo-explore/search?tab=default_tab&amp;search_scope=EVERYTHING&amp;vid=01CRU&amp;lang=en_US&amp;offset=0&amp;query=any,contains,991003121659702656","Catalog Record")</f>
        <v>Catalog Record</v>
      </c>
      <c r="AV124" s="6" t="str">
        <f>HYPERLINK("http://www.worldcat.org/oclc/667005","WorldCat Record")</f>
        <v>WorldCat Record</v>
      </c>
      <c r="AW124" s="3" t="s">
        <v>1686</v>
      </c>
      <c r="AX124" s="3" t="s">
        <v>1687</v>
      </c>
      <c r="AY124" s="3" t="s">
        <v>1688</v>
      </c>
      <c r="AZ124" s="3" t="s">
        <v>1688</v>
      </c>
      <c r="BA124" s="3" t="s">
        <v>1689</v>
      </c>
      <c r="BB124" s="3" t="s">
        <v>77</v>
      </c>
      <c r="BD124" s="3" t="s">
        <v>1690</v>
      </c>
      <c r="BE124" s="3" t="s">
        <v>1691</v>
      </c>
      <c r="BF124" s="3" t="s">
        <v>1692</v>
      </c>
    </row>
    <row r="125" spans="1:58" ht="36.75" customHeight="1" x14ac:dyDescent="0.25">
      <c r="A125" s="7" t="s">
        <v>62</v>
      </c>
      <c r="B125" s="2" t="s">
        <v>57</v>
      </c>
      <c r="C125" s="2" t="s">
        <v>58</v>
      </c>
      <c r="D125" s="2" t="s">
        <v>1693</v>
      </c>
      <c r="E125" s="2" t="s">
        <v>1694</v>
      </c>
      <c r="F125" s="2" t="s">
        <v>1695</v>
      </c>
      <c r="H125" s="3" t="s">
        <v>62</v>
      </c>
      <c r="I125" s="3" t="s">
        <v>63</v>
      </c>
      <c r="J125" s="3" t="s">
        <v>62</v>
      </c>
      <c r="K125" s="3" t="s">
        <v>62</v>
      </c>
      <c r="L125" s="3" t="s">
        <v>64</v>
      </c>
      <c r="M125" s="2" t="s">
        <v>1696</v>
      </c>
      <c r="N125" s="2" t="s">
        <v>1697</v>
      </c>
      <c r="O125" s="3" t="s">
        <v>86</v>
      </c>
      <c r="Q125" s="3" t="s">
        <v>68</v>
      </c>
      <c r="R125" s="3" t="s">
        <v>359</v>
      </c>
      <c r="S125" s="2" t="s">
        <v>1698</v>
      </c>
      <c r="T125" s="3" t="s">
        <v>70</v>
      </c>
      <c r="U125" s="4">
        <v>4</v>
      </c>
      <c r="V125" s="4">
        <v>4</v>
      </c>
      <c r="W125" s="5" t="s">
        <v>1699</v>
      </c>
      <c r="X125" s="5" t="s">
        <v>1699</v>
      </c>
      <c r="Y125" s="5" t="s">
        <v>1622</v>
      </c>
      <c r="Z125" s="5" t="s">
        <v>1622</v>
      </c>
      <c r="AA125" s="4">
        <v>381</v>
      </c>
      <c r="AB125" s="4">
        <v>284</v>
      </c>
      <c r="AC125" s="4">
        <v>285</v>
      </c>
      <c r="AD125" s="4">
        <v>1</v>
      </c>
      <c r="AE125" s="4">
        <v>1</v>
      </c>
      <c r="AF125" s="4">
        <v>14</v>
      </c>
      <c r="AG125" s="4">
        <v>14</v>
      </c>
      <c r="AH125" s="4">
        <v>5</v>
      </c>
      <c r="AI125" s="4">
        <v>5</v>
      </c>
      <c r="AJ125" s="4">
        <v>3</v>
      </c>
      <c r="AK125" s="4">
        <v>3</v>
      </c>
      <c r="AL125" s="4">
        <v>8</v>
      </c>
      <c r="AM125" s="4">
        <v>8</v>
      </c>
      <c r="AN125" s="4">
        <v>0</v>
      </c>
      <c r="AO125" s="4">
        <v>0</v>
      </c>
      <c r="AP125" s="4">
        <v>0</v>
      </c>
      <c r="AQ125" s="4">
        <v>0</v>
      </c>
      <c r="AR125" s="3" t="s">
        <v>62</v>
      </c>
      <c r="AS125" s="3" t="s">
        <v>62</v>
      </c>
      <c r="AU125" s="6" t="str">
        <f>HYPERLINK("https://creighton-primo.hosted.exlibrisgroup.com/primo-explore/search?tab=default_tab&amp;search_scope=EVERYTHING&amp;vid=01CRU&amp;lang=en_US&amp;offset=0&amp;query=any,contains,991003550669702656","Catalog Record")</f>
        <v>Catalog Record</v>
      </c>
      <c r="AV125" s="6" t="str">
        <f>HYPERLINK("http://www.worldcat.org/oclc/1119354","WorldCat Record")</f>
        <v>WorldCat Record</v>
      </c>
      <c r="AW125" s="3" t="s">
        <v>1700</v>
      </c>
      <c r="AX125" s="3" t="s">
        <v>1701</v>
      </c>
      <c r="AY125" s="3" t="s">
        <v>1702</v>
      </c>
      <c r="AZ125" s="3" t="s">
        <v>1702</v>
      </c>
      <c r="BA125" s="3" t="s">
        <v>1703</v>
      </c>
      <c r="BB125" s="3" t="s">
        <v>77</v>
      </c>
      <c r="BD125" s="3" t="s">
        <v>1704</v>
      </c>
      <c r="BE125" s="3" t="s">
        <v>1705</v>
      </c>
      <c r="BF125" s="3" t="s">
        <v>1706</v>
      </c>
    </row>
    <row r="126" spans="1:58" ht="36.75" customHeight="1" x14ac:dyDescent="0.25">
      <c r="A126" s="7" t="s">
        <v>62</v>
      </c>
      <c r="B126" s="2" t="s">
        <v>57</v>
      </c>
      <c r="C126" s="2" t="s">
        <v>58</v>
      </c>
      <c r="D126" s="2" t="s">
        <v>1707</v>
      </c>
      <c r="E126" s="2" t="s">
        <v>1708</v>
      </c>
      <c r="F126" s="2" t="s">
        <v>1709</v>
      </c>
      <c r="H126" s="3" t="s">
        <v>62</v>
      </c>
      <c r="I126" s="3" t="s">
        <v>63</v>
      </c>
      <c r="J126" s="3" t="s">
        <v>62</v>
      </c>
      <c r="K126" s="3" t="s">
        <v>62</v>
      </c>
      <c r="L126" s="3" t="s">
        <v>64</v>
      </c>
      <c r="M126" s="2" t="s">
        <v>1710</v>
      </c>
      <c r="N126" s="2" t="s">
        <v>1711</v>
      </c>
      <c r="O126" s="3" t="s">
        <v>470</v>
      </c>
      <c r="Q126" s="3" t="s">
        <v>68</v>
      </c>
      <c r="R126" s="3" t="s">
        <v>1070</v>
      </c>
      <c r="S126" s="2" t="s">
        <v>1712</v>
      </c>
      <c r="T126" s="3" t="s">
        <v>70</v>
      </c>
      <c r="U126" s="4">
        <v>5</v>
      </c>
      <c r="V126" s="4">
        <v>5</v>
      </c>
      <c r="W126" s="5" t="s">
        <v>1030</v>
      </c>
      <c r="X126" s="5" t="s">
        <v>1030</v>
      </c>
      <c r="Y126" s="5" t="s">
        <v>1622</v>
      </c>
      <c r="Z126" s="5" t="s">
        <v>1622</v>
      </c>
      <c r="AA126" s="4">
        <v>303</v>
      </c>
      <c r="AB126" s="4">
        <v>193</v>
      </c>
      <c r="AC126" s="4">
        <v>350</v>
      </c>
      <c r="AD126" s="4">
        <v>2</v>
      </c>
      <c r="AE126" s="4">
        <v>3</v>
      </c>
      <c r="AF126" s="4">
        <v>15</v>
      </c>
      <c r="AG126" s="4">
        <v>19</v>
      </c>
      <c r="AH126" s="4">
        <v>4</v>
      </c>
      <c r="AI126" s="4">
        <v>5</v>
      </c>
      <c r="AJ126" s="4">
        <v>4</v>
      </c>
      <c r="AK126" s="4">
        <v>6</v>
      </c>
      <c r="AL126" s="4">
        <v>8</v>
      </c>
      <c r="AM126" s="4">
        <v>9</v>
      </c>
      <c r="AN126" s="4">
        <v>1</v>
      </c>
      <c r="AO126" s="4">
        <v>2</v>
      </c>
      <c r="AP126" s="4">
        <v>0</v>
      </c>
      <c r="AQ126" s="4">
        <v>0</v>
      </c>
      <c r="AR126" s="3" t="s">
        <v>62</v>
      </c>
      <c r="AS126" s="3" t="s">
        <v>84</v>
      </c>
      <c r="AT126" s="6" t="str">
        <f>HYPERLINK("http://catalog.hathitrust.org/Record/000173203","HathiTrust Record")</f>
        <v>HathiTrust Record</v>
      </c>
      <c r="AU126" s="6" t="str">
        <f>HYPERLINK("https://creighton-primo.hosted.exlibrisgroup.com/primo-explore/search?tab=default_tab&amp;search_scope=EVERYTHING&amp;vid=01CRU&amp;lang=en_US&amp;offset=0&amp;query=any,contains,991004244299702656","Catalog Record")</f>
        <v>Catalog Record</v>
      </c>
      <c r="AV126" s="6" t="str">
        <f>HYPERLINK("http://www.worldcat.org/oclc/2797834","WorldCat Record")</f>
        <v>WorldCat Record</v>
      </c>
      <c r="AW126" s="3" t="s">
        <v>1713</v>
      </c>
      <c r="AX126" s="3" t="s">
        <v>1714</v>
      </c>
      <c r="AY126" s="3" t="s">
        <v>1715</v>
      </c>
      <c r="AZ126" s="3" t="s">
        <v>1715</v>
      </c>
      <c r="BA126" s="3" t="s">
        <v>1716</v>
      </c>
      <c r="BB126" s="3" t="s">
        <v>77</v>
      </c>
      <c r="BD126" s="3" t="s">
        <v>1717</v>
      </c>
      <c r="BE126" s="3" t="s">
        <v>1718</v>
      </c>
      <c r="BF126" s="3" t="s">
        <v>1719</v>
      </c>
    </row>
    <row r="127" spans="1:58" ht="36.75" customHeight="1" x14ac:dyDescent="0.25">
      <c r="A127" s="7" t="s">
        <v>62</v>
      </c>
      <c r="B127" s="2" t="s">
        <v>57</v>
      </c>
      <c r="C127" s="2" t="s">
        <v>58</v>
      </c>
      <c r="D127" s="2" t="s">
        <v>1720</v>
      </c>
      <c r="E127" s="2" t="s">
        <v>1721</v>
      </c>
      <c r="F127" s="2" t="s">
        <v>1722</v>
      </c>
      <c r="H127" s="3" t="s">
        <v>62</v>
      </c>
      <c r="I127" s="3" t="s">
        <v>63</v>
      </c>
      <c r="J127" s="3" t="s">
        <v>62</v>
      </c>
      <c r="K127" s="3" t="s">
        <v>62</v>
      </c>
      <c r="L127" s="3" t="s">
        <v>64</v>
      </c>
      <c r="M127" s="2" t="s">
        <v>1368</v>
      </c>
      <c r="N127" s="2" t="s">
        <v>1723</v>
      </c>
      <c r="O127" s="3" t="s">
        <v>726</v>
      </c>
      <c r="Q127" s="3" t="s">
        <v>68</v>
      </c>
      <c r="R127" s="3" t="s">
        <v>87</v>
      </c>
      <c r="S127" s="2" t="s">
        <v>1724</v>
      </c>
      <c r="T127" s="3" t="s">
        <v>70</v>
      </c>
      <c r="U127" s="4">
        <v>3</v>
      </c>
      <c r="V127" s="4">
        <v>3</v>
      </c>
      <c r="W127" s="5" t="s">
        <v>1725</v>
      </c>
      <c r="X127" s="5" t="s">
        <v>1725</v>
      </c>
      <c r="Y127" s="5" t="s">
        <v>1622</v>
      </c>
      <c r="Z127" s="5" t="s">
        <v>1622</v>
      </c>
      <c r="AA127" s="4">
        <v>365</v>
      </c>
      <c r="AB127" s="4">
        <v>341</v>
      </c>
      <c r="AC127" s="4">
        <v>819</v>
      </c>
      <c r="AD127" s="4">
        <v>4</v>
      </c>
      <c r="AE127" s="4">
        <v>6</v>
      </c>
      <c r="AF127" s="4">
        <v>23</v>
      </c>
      <c r="AG127" s="4">
        <v>43</v>
      </c>
      <c r="AH127" s="4">
        <v>8</v>
      </c>
      <c r="AI127" s="4">
        <v>19</v>
      </c>
      <c r="AJ127" s="4">
        <v>4</v>
      </c>
      <c r="AK127" s="4">
        <v>9</v>
      </c>
      <c r="AL127" s="4">
        <v>14</v>
      </c>
      <c r="AM127" s="4">
        <v>21</v>
      </c>
      <c r="AN127" s="4">
        <v>3</v>
      </c>
      <c r="AO127" s="4">
        <v>5</v>
      </c>
      <c r="AP127" s="4">
        <v>0</v>
      </c>
      <c r="AQ127" s="4">
        <v>1</v>
      </c>
      <c r="AR127" s="3" t="s">
        <v>62</v>
      </c>
      <c r="AS127" s="3" t="s">
        <v>84</v>
      </c>
      <c r="AT127" s="6" t="str">
        <f>HYPERLINK("http://catalog.hathitrust.org/Record/000008757","HathiTrust Record")</f>
        <v>HathiTrust Record</v>
      </c>
      <c r="AU127" s="6" t="str">
        <f>HYPERLINK("https://creighton-primo.hosted.exlibrisgroup.com/primo-explore/search?tab=default_tab&amp;search_scope=EVERYTHING&amp;vid=01CRU&amp;lang=en_US&amp;offset=0&amp;query=any,contains,991005356119702656","Catalog Record")</f>
        <v>Catalog Record</v>
      </c>
      <c r="AV127" s="6" t="str">
        <f>HYPERLINK("http://www.worldcat.org/oclc/631803","WorldCat Record")</f>
        <v>WorldCat Record</v>
      </c>
      <c r="AW127" s="3" t="s">
        <v>1726</v>
      </c>
      <c r="AX127" s="3" t="s">
        <v>1727</v>
      </c>
      <c r="AY127" s="3" t="s">
        <v>1728</v>
      </c>
      <c r="AZ127" s="3" t="s">
        <v>1728</v>
      </c>
      <c r="BA127" s="3" t="s">
        <v>1729</v>
      </c>
      <c r="BB127" s="3" t="s">
        <v>77</v>
      </c>
      <c r="BE127" s="3" t="s">
        <v>1730</v>
      </c>
      <c r="BF127" s="3" t="s">
        <v>1731</v>
      </c>
    </row>
    <row r="128" spans="1:58" ht="36.75" customHeight="1" x14ac:dyDescent="0.25">
      <c r="A128" s="7" t="s">
        <v>62</v>
      </c>
      <c r="B128" s="2" t="s">
        <v>57</v>
      </c>
      <c r="C128" s="2" t="s">
        <v>58</v>
      </c>
      <c r="D128" s="2" t="s">
        <v>1732</v>
      </c>
      <c r="E128" s="2" t="s">
        <v>1733</v>
      </c>
      <c r="F128" s="2" t="s">
        <v>1734</v>
      </c>
      <c r="H128" s="3" t="s">
        <v>62</v>
      </c>
      <c r="I128" s="3" t="s">
        <v>63</v>
      </c>
      <c r="J128" s="3" t="s">
        <v>62</v>
      </c>
      <c r="K128" s="3" t="s">
        <v>62</v>
      </c>
      <c r="L128" s="3" t="s">
        <v>64</v>
      </c>
      <c r="M128" s="2" t="s">
        <v>1735</v>
      </c>
      <c r="N128" s="2" t="s">
        <v>1736</v>
      </c>
      <c r="O128" s="3" t="s">
        <v>120</v>
      </c>
      <c r="P128" s="2" t="s">
        <v>1737</v>
      </c>
      <c r="Q128" s="3" t="s">
        <v>68</v>
      </c>
      <c r="R128" s="3" t="s">
        <v>359</v>
      </c>
      <c r="T128" s="3" t="s">
        <v>70</v>
      </c>
      <c r="U128" s="4">
        <v>1</v>
      </c>
      <c r="V128" s="4">
        <v>1</v>
      </c>
      <c r="W128" s="5" t="s">
        <v>1738</v>
      </c>
      <c r="X128" s="5" t="s">
        <v>1738</v>
      </c>
      <c r="Y128" s="5" t="s">
        <v>1738</v>
      </c>
      <c r="Z128" s="5" t="s">
        <v>1738</v>
      </c>
      <c r="AA128" s="4">
        <v>28</v>
      </c>
      <c r="AB128" s="4">
        <v>22</v>
      </c>
      <c r="AC128" s="4">
        <v>22</v>
      </c>
      <c r="AD128" s="4">
        <v>1</v>
      </c>
      <c r="AE128" s="4">
        <v>1</v>
      </c>
      <c r="AF128" s="4">
        <v>4</v>
      </c>
      <c r="AG128" s="4">
        <v>4</v>
      </c>
      <c r="AH128" s="4">
        <v>2</v>
      </c>
      <c r="AI128" s="4">
        <v>2</v>
      </c>
      <c r="AJ128" s="4">
        <v>3</v>
      </c>
      <c r="AK128" s="4">
        <v>3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3" t="s">
        <v>62</v>
      </c>
      <c r="AS128" s="3" t="s">
        <v>62</v>
      </c>
      <c r="AU128" s="6" t="str">
        <f>HYPERLINK("https://creighton-primo.hosted.exlibrisgroup.com/primo-explore/search?tab=default_tab&amp;search_scope=EVERYTHING&amp;vid=01CRU&amp;lang=en_US&amp;offset=0&amp;query=any,contains,991004895949702656","Catalog Record")</f>
        <v>Catalog Record</v>
      </c>
      <c r="AV128" s="6" t="str">
        <f>HYPERLINK("http://www.worldcat.org/oclc/12928668","WorldCat Record")</f>
        <v>WorldCat Record</v>
      </c>
      <c r="AW128" s="3" t="s">
        <v>1739</v>
      </c>
      <c r="AX128" s="3" t="s">
        <v>1740</v>
      </c>
      <c r="AY128" s="3" t="s">
        <v>1741</v>
      </c>
      <c r="AZ128" s="3" t="s">
        <v>1741</v>
      </c>
      <c r="BA128" s="3" t="s">
        <v>1742</v>
      </c>
      <c r="BB128" s="3" t="s">
        <v>77</v>
      </c>
      <c r="BE128" s="3" t="s">
        <v>1743</v>
      </c>
      <c r="BF128" s="3" t="s">
        <v>1744</v>
      </c>
    </row>
    <row r="129" spans="1:58" ht="36.75" customHeight="1" x14ac:dyDescent="0.25">
      <c r="A129" s="7" t="s">
        <v>62</v>
      </c>
      <c r="B129" s="2" t="s">
        <v>57</v>
      </c>
      <c r="C129" s="2" t="s">
        <v>58</v>
      </c>
      <c r="D129" s="2" t="s">
        <v>1745</v>
      </c>
      <c r="E129" s="2" t="s">
        <v>1746</v>
      </c>
      <c r="F129" s="2" t="s">
        <v>1747</v>
      </c>
      <c r="H129" s="3" t="s">
        <v>62</v>
      </c>
      <c r="I129" s="3" t="s">
        <v>63</v>
      </c>
      <c r="J129" s="3" t="s">
        <v>62</v>
      </c>
      <c r="K129" s="3" t="s">
        <v>62</v>
      </c>
      <c r="L129" s="3" t="s">
        <v>64</v>
      </c>
      <c r="M129" s="2" t="s">
        <v>1735</v>
      </c>
      <c r="N129" s="2" t="s">
        <v>1748</v>
      </c>
      <c r="O129" s="3" t="s">
        <v>86</v>
      </c>
      <c r="P129" s="2" t="s">
        <v>1749</v>
      </c>
      <c r="Q129" s="3" t="s">
        <v>68</v>
      </c>
      <c r="R129" s="3" t="s">
        <v>87</v>
      </c>
      <c r="T129" s="3" t="s">
        <v>70</v>
      </c>
      <c r="U129" s="4">
        <v>6</v>
      </c>
      <c r="V129" s="4">
        <v>6</v>
      </c>
      <c r="W129" s="5" t="s">
        <v>1750</v>
      </c>
      <c r="X129" s="5" t="s">
        <v>1750</v>
      </c>
      <c r="Y129" s="5" t="s">
        <v>1622</v>
      </c>
      <c r="Z129" s="5" t="s">
        <v>1622</v>
      </c>
      <c r="AA129" s="4">
        <v>165</v>
      </c>
      <c r="AB129" s="4">
        <v>161</v>
      </c>
      <c r="AC129" s="4">
        <v>398</v>
      </c>
      <c r="AD129" s="4">
        <v>2</v>
      </c>
      <c r="AE129" s="4">
        <v>3</v>
      </c>
      <c r="AF129" s="4">
        <v>15</v>
      </c>
      <c r="AG129" s="4">
        <v>31</v>
      </c>
      <c r="AH129" s="4">
        <v>4</v>
      </c>
      <c r="AI129" s="4">
        <v>13</v>
      </c>
      <c r="AJ129" s="4">
        <v>5</v>
      </c>
      <c r="AK129" s="4">
        <v>8</v>
      </c>
      <c r="AL129" s="4">
        <v>9</v>
      </c>
      <c r="AM129" s="4">
        <v>17</v>
      </c>
      <c r="AN129" s="4">
        <v>1</v>
      </c>
      <c r="AO129" s="4">
        <v>2</v>
      </c>
      <c r="AP129" s="4">
        <v>0</v>
      </c>
      <c r="AQ129" s="4">
        <v>0</v>
      </c>
      <c r="AR129" s="3" t="s">
        <v>62</v>
      </c>
      <c r="AS129" s="3" t="s">
        <v>62</v>
      </c>
      <c r="AU129" s="6" t="str">
        <f>HYPERLINK("https://creighton-primo.hosted.exlibrisgroup.com/primo-explore/search?tab=default_tab&amp;search_scope=EVERYTHING&amp;vid=01CRU&amp;lang=en_US&amp;offset=0&amp;query=any,contains,991004134649702656","Catalog Record")</f>
        <v>Catalog Record</v>
      </c>
      <c r="AV129" s="6" t="str">
        <f>HYPERLINK("http://www.worldcat.org/oclc/2481823","WorldCat Record")</f>
        <v>WorldCat Record</v>
      </c>
      <c r="AW129" s="3" t="s">
        <v>1751</v>
      </c>
      <c r="AX129" s="3" t="s">
        <v>1752</v>
      </c>
      <c r="AY129" s="3" t="s">
        <v>1753</v>
      </c>
      <c r="AZ129" s="3" t="s">
        <v>1753</v>
      </c>
      <c r="BA129" s="3" t="s">
        <v>1754</v>
      </c>
      <c r="BB129" s="3" t="s">
        <v>77</v>
      </c>
      <c r="BE129" s="3" t="s">
        <v>1755</v>
      </c>
      <c r="BF129" s="3" t="s">
        <v>1756</v>
      </c>
    </row>
    <row r="130" spans="1:58" ht="36.75" customHeight="1" x14ac:dyDescent="0.25">
      <c r="A130" s="7" t="s">
        <v>62</v>
      </c>
      <c r="B130" s="2" t="s">
        <v>57</v>
      </c>
      <c r="C130" s="2" t="s">
        <v>58</v>
      </c>
      <c r="D130" s="2" t="s">
        <v>1757</v>
      </c>
      <c r="E130" s="2" t="s">
        <v>1758</v>
      </c>
      <c r="F130" s="2" t="s">
        <v>1759</v>
      </c>
      <c r="H130" s="3" t="s">
        <v>62</v>
      </c>
      <c r="I130" s="3" t="s">
        <v>63</v>
      </c>
      <c r="J130" s="3" t="s">
        <v>62</v>
      </c>
      <c r="K130" s="3" t="s">
        <v>62</v>
      </c>
      <c r="L130" s="3" t="s">
        <v>64</v>
      </c>
      <c r="M130" s="2" t="s">
        <v>1760</v>
      </c>
      <c r="N130" s="2" t="s">
        <v>1761</v>
      </c>
      <c r="O130" s="3" t="s">
        <v>1012</v>
      </c>
      <c r="Q130" s="3" t="s">
        <v>68</v>
      </c>
      <c r="R130" s="3" t="s">
        <v>87</v>
      </c>
      <c r="S130" s="2" t="s">
        <v>1762</v>
      </c>
      <c r="T130" s="3" t="s">
        <v>70</v>
      </c>
      <c r="U130" s="4">
        <v>7</v>
      </c>
      <c r="V130" s="4">
        <v>7</v>
      </c>
      <c r="W130" s="5" t="s">
        <v>1763</v>
      </c>
      <c r="X130" s="5" t="s">
        <v>1763</v>
      </c>
      <c r="Y130" s="5" t="s">
        <v>1764</v>
      </c>
      <c r="Z130" s="5" t="s">
        <v>1764</v>
      </c>
      <c r="AA130" s="4">
        <v>228</v>
      </c>
      <c r="AB130" s="4">
        <v>190</v>
      </c>
      <c r="AC130" s="4">
        <v>774</v>
      </c>
      <c r="AD130" s="4">
        <v>2</v>
      </c>
      <c r="AE130" s="4">
        <v>8</v>
      </c>
      <c r="AF130" s="4">
        <v>8</v>
      </c>
      <c r="AG130" s="4">
        <v>34</v>
      </c>
      <c r="AH130" s="4">
        <v>0</v>
      </c>
      <c r="AI130" s="4">
        <v>12</v>
      </c>
      <c r="AJ130" s="4">
        <v>4</v>
      </c>
      <c r="AK130" s="4">
        <v>9</v>
      </c>
      <c r="AL130" s="4">
        <v>4</v>
      </c>
      <c r="AM130" s="4">
        <v>12</v>
      </c>
      <c r="AN130" s="4">
        <v>1</v>
      </c>
      <c r="AO130" s="4">
        <v>6</v>
      </c>
      <c r="AP130" s="4">
        <v>0</v>
      </c>
      <c r="AQ130" s="4">
        <v>1</v>
      </c>
      <c r="AR130" s="3" t="s">
        <v>62</v>
      </c>
      <c r="AS130" s="3" t="s">
        <v>62</v>
      </c>
      <c r="AU130" s="6" t="str">
        <f>HYPERLINK("https://creighton-primo.hosted.exlibrisgroup.com/primo-explore/search?tab=default_tab&amp;search_scope=EVERYTHING&amp;vid=01CRU&amp;lang=en_US&amp;offset=0&amp;query=any,contains,991001174919702656","Catalog Record")</f>
        <v>Catalog Record</v>
      </c>
      <c r="AV130" s="6" t="str">
        <f>HYPERLINK("http://www.worldcat.org/oclc/16986040","WorldCat Record")</f>
        <v>WorldCat Record</v>
      </c>
      <c r="AW130" s="3" t="s">
        <v>1765</v>
      </c>
      <c r="AX130" s="3" t="s">
        <v>1766</v>
      </c>
      <c r="AY130" s="3" t="s">
        <v>1767</v>
      </c>
      <c r="AZ130" s="3" t="s">
        <v>1767</v>
      </c>
      <c r="BA130" s="3" t="s">
        <v>1768</v>
      </c>
      <c r="BB130" s="3" t="s">
        <v>77</v>
      </c>
      <c r="BD130" s="3" t="s">
        <v>1769</v>
      </c>
      <c r="BE130" s="3" t="s">
        <v>1770</v>
      </c>
      <c r="BF130" s="3" t="s">
        <v>1771</v>
      </c>
    </row>
    <row r="131" spans="1:58" ht="36.75" customHeight="1" x14ac:dyDescent="0.25">
      <c r="A131" s="7" t="s">
        <v>62</v>
      </c>
      <c r="B131" s="2" t="s">
        <v>57</v>
      </c>
      <c r="C131" s="2" t="s">
        <v>58</v>
      </c>
      <c r="D131" s="2" t="s">
        <v>1772</v>
      </c>
      <c r="E131" s="2" t="s">
        <v>1773</v>
      </c>
      <c r="F131" s="2" t="s">
        <v>1774</v>
      </c>
      <c r="H131" s="3" t="s">
        <v>62</v>
      </c>
      <c r="I131" s="3" t="s">
        <v>63</v>
      </c>
      <c r="J131" s="3" t="s">
        <v>62</v>
      </c>
      <c r="K131" s="3" t="s">
        <v>62</v>
      </c>
      <c r="L131" s="3" t="s">
        <v>64</v>
      </c>
      <c r="M131" s="2" t="s">
        <v>1775</v>
      </c>
      <c r="N131" s="2" t="s">
        <v>1776</v>
      </c>
      <c r="O131" s="3" t="s">
        <v>319</v>
      </c>
      <c r="P131" s="2" t="s">
        <v>1777</v>
      </c>
      <c r="Q131" s="3" t="s">
        <v>68</v>
      </c>
      <c r="R131" s="3" t="s">
        <v>87</v>
      </c>
      <c r="T131" s="3" t="s">
        <v>70</v>
      </c>
      <c r="U131" s="4">
        <v>6</v>
      </c>
      <c r="V131" s="4">
        <v>6</v>
      </c>
      <c r="W131" s="5" t="s">
        <v>1778</v>
      </c>
      <c r="X131" s="5" t="s">
        <v>1778</v>
      </c>
      <c r="Y131" s="5" t="s">
        <v>1121</v>
      </c>
      <c r="Z131" s="5" t="s">
        <v>1121</v>
      </c>
      <c r="AA131" s="4">
        <v>447</v>
      </c>
      <c r="AB131" s="4">
        <v>407</v>
      </c>
      <c r="AC131" s="4">
        <v>436</v>
      </c>
      <c r="AD131" s="4">
        <v>2</v>
      </c>
      <c r="AE131" s="4">
        <v>2</v>
      </c>
      <c r="AF131" s="4">
        <v>14</v>
      </c>
      <c r="AG131" s="4">
        <v>14</v>
      </c>
      <c r="AH131" s="4">
        <v>5</v>
      </c>
      <c r="AI131" s="4">
        <v>5</v>
      </c>
      <c r="AJ131" s="4">
        <v>3</v>
      </c>
      <c r="AK131" s="4">
        <v>3</v>
      </c>
      <c r="AL131" s="4">
        <v>8</v>
      </c>
      <c r="AM131" s="4">
        <v>8</v>
      </c>
      <c r="AN131" s="4">
        <v>1</v>
      </c>
      <c r="AO131" s="4">
        <v>1</v>
      </c>
      <c r="AP131" s="4">
        <v>0</v>
      </c>
      <c r="AQ131" s="4">
        <v>0</v>
      </c>
      <c r="AR131" s="3" t="s">
        <v>62</v>
      </c>
      <c r="AS131" s="3" t="s">
        <v>62</v>
      </c>
      <c r="AU131" s="6" t="str">
        <f>HYPERLINK("https://creighton-primo.hosted.exlibrisgroup.com/primo-explore/search?tab=default_tab&amp;search_scope=EVERYTHING&amp;vid=01CRU&amp;lang=en_US&amp;offset=0&amp;query=any,contains,991003120359702656","Catalog Record")</f>
        <v>Catalog Record</v>
      </c>
      <c r="AV131" s="6" t="str">
        <f>HYPERLINK("http://www.worldcat.org/oclc/3380140","WorldCat Record")</f>
        <v>WorldCat Record</v>
      </c>
      <c r="AW131" s="3" t="s">
        <v>1779</v>
      </c>
      <c r="AX131" s="3" t="s">
        <v>1780</v>
      </c>
      <c r="AY131" s="3" t="s">
        <v>1781</v>
      </c>
      <c r="AZ131" s="3" t="s">
        <v>1781</v>
      </c>
      <c r="BA131" s="3" t="s">
        <v>1782</v>
      </c>
      <c r="BB131" s="3" t="s">
        <v>77</v>
      </c>
      <c r="BD131" s="3" t="s">
        <v>1783</v>
      </c>
      <c r="BE131" s="3" t="s">
        <v>1784</v>
      </c>
      <c r="BF131" s="3" t="s">
        <v>1785</v>
      </c>
    </row>
    <row r="132" spans="1:58" ht="36.75" customHeight="1" x14ac:dyDescent="0.25">
      <c r="A132" s="7" t="s">
        <v>62</v>
      </c>
      <c r="B132" s="2" t="s">
        <v>57</v>
      </c>
      <c r="C132" s="2" t="s">
        <v>58</v>
      </c>
      <c r="D132" s="2" t="s">
        <v>1786</v>
      </c>
      <c r="E132" s="2" t="s">
        <v>1787</v>
      </c>
      <c r="F132" s="2" t="s">
        <v>1788</v>
      </c>
      <c r="H132" s="3" t="s">
        <v>62</v>
      </c>
      <c r="I132" s="3" t="s">
        <v>63</v>
      </c>
      <c r="J132" s="3" t="s">
        <v>62</v>
      </c>
      <c r="K132" s="3" t="s">
        <v>62</v>
      </c>
      <c r="L132" s="3" t="s">
        <v>64</v>
      </c>
      <c r="N132" s="2" t="s">
        <v>1789</v>
      </c>
      <c r="O132" s="3" t="s">
        <v>276</v>
      </c>
      <c r="Q132" s="3" t="s">
        <v>68</v>
      </c>
      <c r="R132" s="3" t="s">
        <v>683</v>
      </c>
      <c r="S132" s="2" t="s">
        <v>1790</v>
      </c>
      <c r="T132" s="3" t="s">
        <v>70</v>
      </c>
      <c r="U132" s="4">
        <v>2</v>
      </c>
      <c r="V132" s="4">
        <v>2</v>
      </c>
      <c r="W132" s="5" t="s">
        <v>1791</v>
      </c>
      <c r="X132" s="5" t="s">
        <v>1791</v>
      </c>
      <c r="Y132" s="5" t="s">
        <v>541</v>
      </c>
      <c r="Z132" s="5" t="s">
        <v>541</v>
      </c>
      <c r="AA132" s="4">
        <v>486</v>
      </c>
      <c r="AB132" s="4">
        <v>411</v>
      </c>
      <c r="AC132" s="4">
        <v>413</v>
      </c>
      <c r="AD132" s="4">
        <v>3</v>
      </c>
      <c r="AE132" s="4">
        <v>3</v>
      </c>
      <c r="AF132" s="4">
        <v>20</v>
      </c>
      <c r="AG132" s="4">
        <v>20</v>
      </c>
      <c r="AH132" s="4">
        <v>6</v>
      </c>
      <c r="AI132" s="4">
        <v>6</v>
      </c>
      <c r="AJ132" s="4">
        <v>6</v>
      </c>
      <c r="AK132" s="4">
        <v>6</v>
      </c>
      <c r="AL132" s="4">
        <v>10</v>
      </c>
      <c r="AM132" s="4">
        <v>10</v>
      </c>
      <c r="AN132" s="4">
        <v>2</v>
      </c>
      <c r="AO132" s="4">
        <v>2</v>
      </c>
      <c r="AP132" s="4">
        <v>0</v>
      </c>
      <c r="AQ132" s="4">
        <v>0</v>
      </c>
      <c r="AR132" s="3" t="s">
        <v>62</v>
      </c>
      <c r="AS132" s="3" t="s">
        <v>84</v>
      </c>
      <c r="AT132" s="6" t="str">
        <f>HYPERLINK("http://catalog.hathitrust.org/Record/000809321","HathiTrust Record")</f>
        <v>HathiTrust Record</v>
      </c>
      <c r="AU132" s="6" t="str">
        <f>HYPERLINK("https://creighton-primo.hosted.exlibrisgroup.com/primo-explore/search?tab=default_tab&amp;search_scope=EVERYTHING&amp;vid=01CRU&amp;lang=en_US&amp;offset=0&amp;query=any,contains,991000922209702656","Catalog Record")</f>
        <v>Catalog Record</v>
      </c>
      <c r="AV132" s="6" t="str">
        <f>HYPERLINK("http://www.worldcat.org/oclc/14213564","WorldCat Record")</f>
        <v>WorldCat Record</v>
      </c>
      <c r="AW132" s="3" t="s">
        <v>1792</v>
      </c>
      <c r="AX132" s="3" t="s">
        <v>1793</v>
      </c>
      <c r="AY132" s="3" t="s">
        <v>1794</v>
      </c>
      <c r="AZ132" s="3" t="s">
        <v>1794</v>
      </c>
      <c r="BA132" s="3" t="s">
        <v>1795</v>
      </c>
      <c r="BB132" s="3" t="s">
        <v>77</v>
      </c>
      <c r="BD132" s="3" t="s">
        <v>1796</v>
      </c>
      <c r="BE132" s="3" t="s">
        <v>1797</v>
      </c>
      <c r="BF132" s="3" t="s">
        <v>1798</v>
      </c>
    </row>
    <row r="133" spans="1:58" ht="36.75" customHeight="1" x14ac:dyDescent="0.25">
      <c r="A133" s="7" t="s">
        <v>62</v>
      </c>
      <c r="B133" s="2" t="s">
        <v>57</v>
      </c>
      <c r="C133" s="2" t="s">
        <v>58</v>
      </c>
      <c r="D133" s="2" t="s">
        <v>1799</v>
      </c>
      <c r="E133" s="2" t="s">
        <v>1800</v>
      </c>
      <c r="F133" s="2" t="s">
        <v>1801</v>
      </c>
      <c r="H133" s="3" t="s">
        <v>62</v>
      </c>
      <c r="I133" s="3" t="s">
        <v>63</v>
      </c>
      <c r="J133" s="3" t="s">
        <v>62</v>
      </c>
      <c r="K133" s="3" t="s">
        <v>62</v>
      </c>
      <c r="L133" s="3" t="s">
        <v>64</v>
      </c>
      <c r="N133" s="2" t="s">
        <v>1802</v>
      </c>
      <c r="O133" s="3" t="s">
        <v>712</v>
      </c>
      <c r="Q133" s="3" t="s">
        <v>68</v>
      </c>
      <c r="R133" s="3" t="s">
        <v>203</v>
      </c>
      <c r="T133" s="3" t="s">
        <v>70</v>
      </c>
      <c r="U133" s="4">
        <v>1</v>
      </c>
      <c r="V133" s="4">
        <v>1</v>
      </c>
      <c r="W133" s="5" t="s">
        <v>1803</v>
      </c>
      <c r="X133" s="5" t="s">
        <v>1803</v>
      </c>
      <c r="Y133" s="5" t="s">
        <v>1804</v>
      </c>
      <c r="Z133" s="5" t="s">
        <v>1804</v>
      </c>
      <c r="AA133" s="4">
        <v>202</v>
      </c>
      <c r="AB133" s="4">
        <v>172</v>
      </c>
      <c r="AC133" s="4">
        <v>177</v>
      </c>
      <c r="AD133" s="4">
        <v>2</v>
      </c>
      <c r="AE133" s="4">
        <v>2</v>
      </c>
      <c r="AF133" s="4">
        <v>7</v>
      </c>
      <c r="AG133" s="4">
        <v>7</v>
      </c>
      <c r="AH133" s="4">
        <v>0</v>
      </c>
      <c r="AI133" s="4">
        <v>0</v>
      </c>
      <c r="AJ133" s="4">
        <v>3</v>
      </c>
      <c r="AK133" s="4">
        <v>3</v>
      </c>
      <c r="AL133" s="4">
        <v>4</v>
      </c>
      <c r="AM133" s="4">
        <v>4</v>
      </c>
      <c r="AN133" s="4">
        <v>1</v>
      </c>
      <c r="AO133" s="4">
        <v>1</v>
      </c>
      <c r="AP133" s="4">
        <v>0</v>
      </c>
      <c r="AQ133" s="4">
        <v>0</v>
      </c>
      <c r="AR133" s="3" t="s">
        <v>62</v>
      </c>
      <c r="AS133" s="3" t="s">
        <v>62</v>
      </c>
      <c r="AU133" s="6" t="str">
        <f>HYPERLINK("https://creighton-primo.hosted.exlibrisgroup.com/primo-explore/search?tab=default_tab&amp;search_scope=EVERYTHING&amp;vid=01CRU&amp;lang=en_US&amp;offset=0&amp;query=any,contains,991000579139702656","Catalog Record")</f>
        <v>Catalog Record</v>
      </c>
      <c r="AV133" s="6" t="str">
        <f>HYPERLINK("http://www.worldcat.org/oclc/11726128","WorldCat Record")</f>
        <v>WorldCat Record</v>
      </c>
      <c r="AW133" s="3" t="s">
        <v>1805</v>
      </c>
      <c r="AX133" s="3" t="s">
        <v>1806</v>
      </c>
      <c r="AY133" s="3" t="s">
        <v>1807</v>
      </c>
      <c r="AZ133" s="3" t="s">
        <v>1807</v>
      </c>
      <c r="BA133" s="3" t="s">
        <v>1808</v>
      </c>
      <c r="BB133" s="3" t="s">
        <v>77</v>
      </c>
      <c r="BD133" s="3" t="s">
        <v>1809</v>
      </c>
      <c r="BE133" s="3" t="s">
        <v>1810</v>
      </c>
      <c r="BF133" s="3" t="s">
        <v>1811</v>
      </c>
    </row>
    <row r="134" spans="1:58" ht="36.75" customHeight="1" x14ac:dyDescent="0.25">
      <c r="A134" s="7" t="s">
        <v>62</v>
      </c>
      <c r="B134" s="2" t="s">
        <v>57</v>
      </c>
      <c r="C134" s="2" t="s">
        <v>58</v>
      </c>
      <c r="D134" s="2" t="s">
        <v>1812</v>
      </c>
      <c r="E134" s="2" t="s">
        <v>1813</v>
      </c>
      <c r="F134" s="2" t="s">
        <v>1814</v>
      </c>
      <c r="H134" s="3" t="s">
        <v>62</v>
      </c>
      <c r="I134" s="3" t="s">
        <v>63</v>
      </c>
      <c r="J134" s="3" t="s">
        <v>62</v>
      </c>
      <c r="K134" s="3" t="s">
        <v>62</v>
      </c>
      <c r="L134" s="3" t="s">
        <v>64</v>
      </c>
      <c r="N134" s="2" t="s">
        <v>1815</v>
      </c>
      <c r="O134" s="3" t="s">
        <v>1816</v>
      </c>
      <c r="Q134" s="3" t="s">
        <v>68</v>
      </c>
      <c r="R134" s="3" t="s">
        <v>87</v>
      </c>
      <c r="T134" s="3" t="s">
        <v>70</v>
      </c>
      <c r="U134" s="4">
        <v>3</v>
      </c>
      <c r="V134" s="4">
        <v>3</v>
      </c>
      <c r="W134" s="5" t="s">
        <v>1817</v>
      </c>
      <c r="X134" s="5" t="s">
        <v>1817</v>
      </c>
      <c r="Y134" s="5" t="s">
        <v>1818</v>
      </c>
      <c r="Z134" s="5" t="s">
        <v>1818</v>
      </c>
      <c r="AA134" s="4">
        <v>509</v>
      </c>
      <c r="AB134" s="4">
        <v>455</v>
      </c>
      <c r="AC134" s="4">
        <v>463</v>
      </c>
      <c r="AD134" s="4">
        <v>3</v>
      </c>
      <c r="AE134" s="4">
        <v>3</v>
      </c>
      <c r="AF134" s="4">
        <v>26</v>
      </c>
      <c r="AG134" s="4">
        <v>26</v>
      </c>
      <c r="AH134" s="4">
        <v>10</v>
      </c>
      <c r="AI134" s="4">
        <v>10</v>
      </c>
      <c r="AJ134" s="4">
        <v>5</v>
      </c>
      <c r="AK134" s="4">
        <v>5</v>
      </c>
      <c r="AL134" s="4">
        <v>17</v>
      </c>
      <c r="AM134" s="4">
        <v>17</v>
      </c>
      <c r="AN134" s="4">
        <v>1</v>
      </c>
      <c r="AO134" s="4">
        <v>1</v>
      </c>
      <c r="AP134" s="4">
        <v>0</v>
      </c>
      <c r="AQ134" s="4">
        <v>0</v>
      </c>
      <c r="AR134" s="3" t="s">
        <v>62</v>
      </c>
      <c r="AS134" s="3" t="s">
        <v>84</v>
      </c>
      <c r="AT134" s="6" t="str">
        <f>HYPERLINK("http://catalog.hathitrust.org/Record/000947577","HathiTrust Record")</f>
        <v>HathiTrust Record</v>
      </c>
      <c r="AU134" s="6" t="str">
        <f>HYPERLINK("https://creighton-primo.hosted.exlibrisgroup.com/primo-explore/search?tab=default_tab&amp;search_scope=EVERYTHING&amp;vid=01CRU&amp;lang=en_US&amp;offset=0&amp;query=any,contains,991001233689702656","Catalog Record")</f>
        <v>Catalog Record</v>
      </c>
      <c r="AV134" s="6" t="str">
        <f>HYPERLINK("http://www.worldcat.org/oclc/17549121","WorldCat Record")</f>
        <v>WorldCat Record</v>
      </c>
      <c r="AW134" s="3" t="s">
        <v>1819</v>
      </c>
      <c r="AX134" s="3" t="s">
        <v>1820</v>
      </c>
      <c r="AY134" s="3" t="s">
        <v>1821</v>
      </c>
      <c r="AZ134" s="3" t="s">
        <v>1821</v>
      </c>
      <c r="BA134" s="3" t="s">
        <v>1822</v>
      </c>
      <c r="BB134" s="3" t="s">
        <v>77</v>
      </c>
      <c r="BD134" s="3" t="s">
        <v>1823</v>
      </c>
      <c r="BE134" s="3" t="s">
        <v>1824</v>
      </c>
      <c r="BF134" s="3" t="s">
        <v>1825</v>
      </c>
    </row>
    <row r="135" spans="1:58" ht="36.75" customHeight="1" x14ac:dyDescent="0.25">
      <c r="A135" s="7" t="s">
        <v>62</v>
      </c>
      <c r="B135" s="2" t="s">
        <v>57</v>
      </c>
      <c r="C135" s="2" t="s">
        <v>58</v>
      </c>
      <c r="D135" s="2" t="s">
        <v>1826</v>
      </c>
      <c r="E135" s="2" t="s">
        <v>1827</v>
      </c>
      <c r="F135" s="2" t="s">
        <v>1828</v>
      </c>
      <c r="H135" s="3" t="s">
        <v>62</v>
      </c>
      <c r="I135" s="3" t="s">
        <v>63</v>
      </c>
      <c r="J135" s="3" t="s">
        <v>62</v>
      </c>
      <c r="K135" s="3" t="s">
        <v>62</v>
      </c>
      <c r="L135" s="3" t="s">
        <v>64</v>
      </c>
      <c r="N135" s="2" t="s">
        <v>1829</v>
      </c>
      <c r="O135" s="3" t="s">
        <v>712</v>
      </c>
      <c r="Q135" s="3" t="s">
        <v>68</v>
      </c>
      <c r="R135" s="3" t="s">
        <v>87</v>
      </c>
      <c r="T135" s="3" t="s">
        <v>70</v>
      </c>
      <c r="U135" s="4">
        <v>6</v>
      </c>
      <c r="V135" s="4">
        <v>6</v>
      </c>
      <c r="W135" s="5" t="s">
        <v>1830</v>
      </c>
      <c r="X135" s="5" t="s">
        <v>1830</v>
      </c>
      <c r="Y135" s="5" t="s">
        <v>1804</v>
      </c>
      <c r="Z135" s="5" t="s">
        <v>1804</v>
      </c>
      <c r="AA135" s="4">
        <v>421</v>
      </c>
      <c r="AB135" s="4">
        <v>373</v>
      </c>
      <c r="AC135" s="4">
        <v>379</v>
      </c>
      <c r="AD135" s="4">
        <v>2</v>
      </c>
      <c r="AE135" s="4">
        <v>2</v>
      </c>
      <c r="AF135" s="4">
        <v>26</v>
      </c>
      <c r="AG135" s="4">
        <v>26</v>
      </c>
      <c r="AH135" s="4">
        <v>9</v>
      </c>
      <c r="AI135" s="4">
        <v>9</v>
      </c>
      <c r="AJ135" s="4">
        <v>8</v>
      </c>
      <c r="AK135" s="4">
        <v>8</v>
      </c>
      <c r="AL135" s="4">
        <v>16</v>
      </c>
      <c r="AM135" s="4">
        <v>16</v>
      </c>
      <c r="AN135" s="4">
        <v>1</v>
      </c>
      <c r="AO135" s="4">
        <v>1</v>
      </c>
      <c r="AP135" s="4">
        <v>0</v>
      </c>
      <c r="AQ135" s="4">
        <v>0</v>
      </c>
      <c r="AR135" s="3" t="s">
        <v>62</v>
      </c>
      <c r="AS135" s="3" t="s">
        <v>84</v>
      </c>
      <c r="AT135" s="6" t="str">
        <f>HYPERLINK("http://catalog.hathitrust.org/Record/000390851","HathiTrust Record")</f>
        <v>HathiTrust Record</v>
      </c>
      <c r="AU135" s="6" t="str">
        <f>HYPERLINK("https://creighton-primo.hosted.exlibrisgroup.com/primo-explore/search?tab=default_tab&amp;search_scope=EVERYTHING&amp;vid=01CRU&amp;lang=en_US&amp;offset=0&amp;query=any,contains,991000590209702656","Catalog Record")</f>
        <v>Catalog Record</v>
      </c>
      <c r="AV135" s="6" t="str">
        <f>HYPERLINK("http://www.worldcat.org/oclc/11784553","WorldCat Record")</f>
        <v>WorldCat Record</v>
      </c>
      <c r="AW135" s="3" t="s">
        <v>1831</v>
      </c>
      <c r="AX135" s="3" t="s">
        <v>1832</v>
      </c>
      <c r="AY135" s="3" t="s">
        <v>1833</v>
      </c>
      <c r="AZ135" s="3" t="s">
        <v>1833</v>
      </c>
      <c r="BA135" s="3" t="s">
        <v>1834</v>
      </c>
      <c r="BB135" s="3" t="s">
        <v>77</v>
      </c>
      <c r="BD135" s="3" t="s">
        <v>1835</v>
      </c>
      <c r="BE135" s="3" t="s">
        <v>1836</v>
      </c>
      <c r="BF135" s="3" t="s">
        <v>1837</v>
      </c>
    </row>
    <row r="136" spans="1:58" ht="36.75" customHeight="1" x14ac:dyDescent="0.25">
      <c r="A136" s="7" t="s">
        <v>62</v>
      </c>
      <c r="B136" s="2" t="s">
        <v>57</v>
      </c>
      <c r="C136" s="2" t="s">
        <v>58</v>
      </c>
      <c r="D136" s="2" t="s">
        <v>1838</v>
      </c>
      <c r="E136" s="2" t="s">
        <v>1839</v>
      </c>
      <c r="F136" s="2" t="s">
        <v>1840</v>
      </c>
      <c r="H136" s="3" t="s">
        <v>62</v>
      </c>
      <c r="I136" s="3" t="s">
        <v>63</v>
      </c>
      <c r="J136" s="3" t="s">
        <v>62</v>
      </c>
      <c r="K136" s="3" t="s">
        <v>62</v>
      </c>
      <c r="L136" s="3" t="s">
        <v>64</v>
      </c>
      <c r="M136" s="2" t="s">
        <v>103</v>
      </c>
      <c r="N136" s="2" t="s">
        <v>1841</v>
      </c>
      <c r="O136" s="3" t="s">
        <v>498</v>
      </c>
      <c r="Q136" s="3" t="s">
        <v>68</v>
      </c>
      <c r="R136" s="3" t="s">
        <v>162</v>
      </c>
      <c r="T136" s="3" t="s">
        <v>70</v>
      </c>
      <c r="U136" s="4">
        <v>2</v>
      </c>
      <c r="V136" s="4">
        <v>2</v>
      </c>
      <c r="W136" s="5" t="s">
        <v>1842</v>
      </c>
      <c r="X136" s="5" t="s">
        <v>1842</v>
      </c>
      <c r="Y136" s="5" t="s">
        <v>1804</v>
      </c>
      <c r="Z136" s="5" t="s">
        <v>1804</v>
      </c>
      <c r="AA136" s="4">
        <v>653</v>
      </c>
      <c r="AB136" s="4">
        <v>566</v>
      </c>
      <c r="AC136" s="4">
        <v>642</v>
      </c>
      <c r="AD136" s="4">
        <v>5</v>
      </c>
      <c r="AE136" s="4">
        <v>5</v>
      </c>
      <c r="AF136" s="4">
        <v>27</v>
      </c>
      <c r="AG136" s="4">
        <v>32</v>
      </c>
      <c r="AH136" s="4">
        <v>11</v>
      </c>
      <c r="AI136" s="4">
        <v>12</v>
      </c>
      <c r="AJ136" s="4">
        <v>4</v>
      </c>
      <c r="AK136" s="4">
        <v>6</v>
      </c>
      <c r="AL136" s="4">
        <v>14</v>
      </c>
      <c r="AM136" s="4">
        <v>18</v>
      </c>
      <c r="AN136" s="4">
        <v>4</v>
      </c>
      <c r="AO136" s="4">
        <v>4</v>
      </c>
      <c r="AP136" s="4">
        <v>0</v>
      </c>
      <c r="AQ136" s="4">
        <v>0</v>
      </c>
      <c r="AR136" s="3" t="s">
        <v>62</v>
      </c>
      <c r="AS136" s="3" t="s">
        <v>84</v>
      </c>
      <c r="AT136" s="6" t="str">
        <f>HYPERLINK("http://catalog.hathitrust.org/Record/000016492","HathiTrust Record")</f>
        <v>HathiTrust Record</v>
      </c>
      <c r="AU136" s="6" t="str">
        <f>HYPERLINK("https://creighton-primo.hosted.exlibrisgroup.com/primo-explore/search?tab=default_tab&amp;search_scope=EVERYTHING&amp;vid=01CRU&amp;lang=en_US&amp;offset=0&amp;query=any,contains,991003466459702656","Catalog Record")</f>
        <v>Catalog Record</v>
      </c>
      <c r="AV136" s="6" t="str">
        <f>HYPERLINK("http://www.worldcat.org/oclc/1008177","WorldCat Record")</f>
        <v>WorldCat Record</v>
      </c>
      <c r="AW136" s="3" t="s">
        <v>1843</v>
      </c>
      <c r="AX136" s="3" t="s">
        <v>1844</v>
      </c>
      <c r="AY136" s="3" t="s">
        <v>1845</v>
      </c>
      <c r="AZ136" s="3" t="s">
        <v>1845</v>
      </c>
      <c r="BA136" s="3" t="s">
        <v>1846</v>
      </c>
      <c r="BB136" s="3" t="s">
        <v>77</v>
      </c>
      <c r="BD136" s="3" t="s">
        <v>1847</v>
      </c>
      <c r="BE136" s="3" t="s">
        <v>1848</v>
      </c>
      <c r="BF136" s="3" t="s">
        <v>1849</v>
      </c>
    </row>
    <row r="137" spans="1:58" ht="36.75" customHeight="1" x14ac:dyDescent="0.25">
      <c r="A137" s="7" t="s">
        <v>62</v>
      </c>
      <c r="B137" s="2" t="s">
        <v>57</v>
      </c>
      <c r="C137" s="2" t="s">
        <v>58</v>
      </c>
      <c r="D137" s="2" t="s">
        <v>1850</v>
      </c>
      <c r="E137" s="2" t="s">
        <v>1851</v>
      </c>
      <c r="F137" s="2" t="s">
        <v>1852</v>
      </c>
      <c r="H137" s="3" t="s">
        <v>62</v>
      </c>
      <c r="I137" s="3" t="s">
        <v>63</v>
      </c>
      <c r="J137" s="3" t="s">
        <v>62</v>
      </c>
      <c r="K137" s="3" t="s">
        <v>62</v>
      </c>
      <c r="L137" s="3" t="s">
        <v>64</v>
      </c>
      <c r="M137" s="2" t="s">
        <v>1853</v>
      </c>
      <c r="N137" s="2" t="s">
        <v>1854</v>
      </c>
      <c r="O137" s="3" t="s">
        <v>1816</v>
      </c>
      <c r="P137" s="2" t="s">
        <v>1397</v>
      </c>
      <c r="Q137" s="3" t="s">
        <v>68</v>
      </c>
      <c r="R137" s="3" t="s">
        <v>87</v>
      </c>
      <c r="T137" s="3" t="s">
        <v>70</v>
      </c>
      <c r="U137" s="4">
        <v>2</v>
      </c>
      <c r="V137" s="4">
        <v>2</v>
      </c>
      <c r="W137" s="5" t="s">
        <v>1855</v>
      </c>
      <c r="X137" s="5" t="s">
        <v>1855</v>
      </c>
      <c r="Y137" s="5" t="s">
        <v>1804</v>
      </c>
      <c r="Z137" s="5" t="s">
        <v>1804</v>
      </c>
      <c r="AA137" s="4">
        <v>720</v>
      </c>
      <c r="AB137" s="4">
        <v>691</v>
      </c>
      <c r="AC137" s="4">
        <v>830</v>
      </c>
      <c r="AD137" s="4">
        <v>4</v>
      </c>
      <c r="AE137" s="4">
        <v>4</v>
      </c>
      <c r="AF137" s="4">
        <v>19</v>
      </c>
      <c r="AG137" s="4">
        <v>22</v>
      </c>
      <c r="AH137" s="4">
        <v>6</v>
      </c>
      <c r="AI137" s="4">
        <v>7</v>
      </c>
      <c r="AJ137" s="4">
        <v>5</v>
      </c>
      <c r="AK137" s="4">
        <v>6</v>
      </c>
      <c r="AL137" s="4">
        <v>9</v>
      </c>
      <c r="AM137" s="4">
        <v>11</v>
      </c>
      <c r="AN137" s="4">
        <v>3</v>
      </c>
      <c r="AO137" s="4">
        <v>3</v>
      </c>
      <c r="AP137" s="4">
        <v>0</v>
      </c>
      <c r="AQ137" s="4">
        <v>0</v>
      </c>
      <c r="AR137" s="3" t="s">
        <v>62</v>
      </c>
      <c r="AS137" s="3" t="s">
        <v>62</v>
      </c>
      <c r="AU137" s="6" t="str">
        <f>HYPERLINK("https://creighton-primo.hosted.exlibrisgroup.com/primo-explore/search?tab=default_tab&amp;search_scope=EVERYTHING&amp;vid=01CRU&amp;lang=en_US&amp;offset=0&amp;query=any,contains,991001094499702656","Catalog Record")</f>
        <v>Catalog Record</v>
      </c>
      <c r="AV137" s="6" t="str">
        <f>HYPERLINK("http://www.worldcat.org/oclc/16227894","WorldCat Record")</f>
        <v>WorldCat Record</v>
      </c>
      <c r="AW137" s="3" t="s">
        <v>1856</v>
      </c>
      <c r="AX137" s="3" t="s">
        <v>1857</v>
      </c>
      <c r="AY137" s="3" t="s">
        <v>1858</v>
      </c>
      <c r="AZ137" s="3" t="s">
        <v>1858</v>
      </c>
      <c r="BA137" s="3" t="s">
        <v>1859</v>
      </c>
      <c r="BB137" s="3" t="s">
        <v>77</v>
      </c>
      <c r="BD137" s="3" t="s">
        <v>1860</v>
      </c>
      <c r="BE137" s="3" t="s">
        <v>1861</v>
      </c>
      <c r="BF137" s="3" t="s">
        <v>1862</v>
      </c>
    </row>
    <row r="138" spans="1:58" ht="36.75" customHeight="1" x14ac:dyDescent="0.25">
      <c r="A138" s="7" t="s">
        <v>62</v>
      </c>
      <c r="B138" s="2" t="s">
        <v>57</v>
      </c>
      <c r="C138" s="2" t="s">
        <v>58</v>
      </c>
      <c r="D138" s="2" t="s">
        <v>1863</v>
      </c>
      <c r="E138" s="2" t="s">
        <v>1864</v>
      </c>
      <c r="F138" s="2" t="s">
        <v>1865</v>
      </c>
      <c r="H138" s="3" t="s">
        <v>62</v>
      </c>
      <c r="I138" s="3" t="s">
        <v>63</v>
      </c>
      <c r="J138" s="3" t="s">
        <v>62</v>
      </c>
      <c r="K138" s="3" t="s">
        <v>62</v>
      </c>
      <c r="L138" s="3" t="s">
        <v>64</v>
      </c>
      <c r="M138" s="2" t="s">
        <v>1866</v>
      </c>
      <c r="N138" s="2" t="s">
        <v>1867</v>
      </c>
      <c r="O138" s="3" t="s">
        <v>1329</v>
      </c>
      <c r="Q138" s="3" t="s">
        <v>68</v>
      </c>
      <c r="R138" s="3" t="s">
        <v>229</v>
      </c>
      <c r="T138" s="3" t="s">
        <v>70</v>
      </c>
      <c r="U138" s="4">
        <v>2</v>
      </c>
      <c r="V138" s="4">
        <v>2</v>
      </c>
      <c r="W138" s="5" t="s">
        <v>1868</v>
      </c>
      <c r="X138" s="5" t="s">
        <v>1868</v>
      </c>
      <c r="Y138" s="5" t="s">
        <v>1869</v>
      </c>
      <c r="Z138" s="5" t="s">
        <v>1869</v>
      </c>
      <c r="AA138" s="4">
        <v>201</v>
      </c>
      <c r="AB138" s="4">
        <v>167</v>
      </c>
      <c r="AC138" s="4">
        <v>170</v>
      </c>
      <c r="AD138" s="4">
        <v>2</v>
      </c>
      <c r="AE138" s="4">
        <v>2</v>
      </c>
      <c r="AF138" s="4">
        <v>7</v>
      </c>
      <c r="AG138" s="4">
        <v>7</v>
      </c>
      <c r="AH138" s="4">
        <v>2</v>
      </c>
      <c r="AI138" s="4">
        <v>2</v>
      </c>
      <c r="AJ138" s="4">
        <v>1</v>
      </c>
      <c r="AK138" s="4">
        <v>1</v>
      </c>
      <c r="AL138" s="4">
        <v>5</v>
      </c>
      <c r="AM138" s="4">
        <v>5</v>
      </c>
      <c r="AN138" s="4">
        <v>1</v>
      </c>
      <c r="AO138" s="4">
        <v>1</v>
      </c>
      <c r="AP138" s="4">
        <v>0</v>
      </c>
      <c r="AQ138" s="4">
        <v>0</v>
      </c>
      <c r="AR138" s="3" t="s">
        <v>62</v>
      </c>
      <c r="AS138" s="3" t="s">
        <v>62</v>
      </c>
      <c r="AU138" s="6" t="str">
        <f>HYPERLINK("https://creighton-primo.hosted.exlibrisgroup.com/primo-explore/search?tab=default_tab&amp;search_scope=EVERYTHING&amp;vid=01CRU&amp;lang=en_US&amp;offset=0&amp;query=any,contains,991001584739702656","Catalog Record")</f>
        <v>Catalog Record</v>
      </c>
      <c r="AV138" s="6" t="str">
        <f>HYPERLINK("http://www.worldcat.org/oclc/20524271","WorldCat Record")</f>
        <v>WorldCat Record</v>
      </c>
      <c r="AW138" s="3" t="s">
        <v>1870</v>
      </c>
      <c r="AX138" s="3" t="s">
        <v>1871</v>
      </c>
      <c r="AY138" s="3" t="s">
        <v>1872</v>
      </c>
      <c r="AZ138" s="3" t="s">
        <v>1872</v>
      </c>
      <c r="BA138" s="3" t="s">
        <v>1873</v>
      </c>
      <c r="BB138" s="3" t="s">
        <v>77</v>
      </c>
      <c r="BD138" s="3" t="s">
        <v>1874</v>
      </c>
      <c r="BE138" s="3" t="s">
        <v>1875</v>
      </c>
      <c r="BF138" s="3" t="s">
        <v>1876</v>
      </c>
    </row>
    <row r="139" spans="1:58" ht="36.75" customHeight="1" x14ac:dyDescent="0.25">
      <c r="A139" s="7" t="s">
        <v>62</v>
      </c>
      <c r="B139" s="2" t="s">
        <v>57</v>
      </c>
      <c r="C139" s="2" t="s">
        <v>58</v>
      </c>
      <c r="D139" s="2" t="s">
        <v>1877</v>
      </c>
      <c r="E139" s="2" t="s">
        <v>1878</v>
      </c>
      <c r="F139" s="2" t="s">
        <v>1879</v>
      </c>
      <c r="H139" s="3" t="s">
        <v>62</v>
      </c>
      <c r="I139" s="3" t="s">
        <v>63</v>
      </c>
      <c r="J139" s="3" t="s">
        <v>62</v>
      </c>
      <c r="K139" s="3" t="s">
        <v>62</v>
      </c>
      <c r="L139" s="3" t="s">
        <v>64</v>
      </c>
      <c r="N139" s="2" t="s">
        <v>1880</v>
      </c>
      <c r="O139" s="3" t="s">
        <v>1012</v>
      </c>
      <c r="Q139" s="3" t="s">
        <v>68</v>
      </c>
      <c r="R139" s="3" t="s">
        <v>1070</v>
      </c>
      <c r="T139" s="3" t="s">
        <v>70</v>
      </c>
      <c r="U139" s="4">
        <v>1</v>
      </c>
      <c r="V139" s="4">
        <v>1</v>
      </c>
      <c r="W139" s="5" t="s">
        <v>1881</v>
      </c>
      <c r="X139" s="5" t="s">
        <v>1881</v>
      </c>
      <c r="Y139" s="5" t="s">
        <v>1882</v>
      </c>
      <c r="Z139" s="5" t="s">
        <v>1882</v>
      </c>
      <c r="AA139" s="4">
        <v>218</v>
      </c>
      <c r="AB139" s="4">
        <v>134</v>
      </c>
      <c r="AC139" s="4">
        <v>137</v>
      </c>
      <c r="AD139" s="4">
        <v>2</v>
      </c>
      <c r="AE139" s="4">
        <v>2</v>
      </c>
      <c r="AF139" s="4">
        <v>9</v>
      </c>
      <c r="AG139" s="4">
        <v>9</v>
      </c>
      <c r="AH139" s="4">
        <v>4</v>
      </c>
      <c r="AI139" s="4">
        <v>4</v>
      </c>
      <c r="AJ139" s="4">
        <v>1</v>
      </c>
      <c r="AK139" s="4">
        <v>1</v>
      </c>
      <c r="AL139" s="4">
        <v>4</v>
      </c>
      <c r="AM139" s="4">
        <v>4</v>
      </c>
      <c r="AN139" s="4">
        <v>1</v>
      </c>
      <c r="AO139" s="4">
        <v>1</v>
      </c>
      <c r="AP139" s="4">
        <v>0</v>
      </c>
      <c r="AQ139" s="4">
        <v>0</v>
      </c>
      <c r="AR139" s="3" t="s">
        <v>62</v>
      </c>
      <c r="AS139" s="3" t="s">
        <v>84</v>
      </c>
      <c r="AT139" s="6" t="str">
        <f>HYPERLINK("http://catalog.hathitrust.org/Record/001105678","HathiTrust Record")</f>
        <v>HathiTrust Record</v>
      </c>
      <c r="AU139" s="6" t="str">
        <f>HYPERLINK("https://creighton-primo.hosted.exlibrisgroup.com/primo-explore/search?tab=default_tab&amp;search_scope=EVERYTHING&amp;vid=01CRU&amp;lang=en_US&amp;offset=0&amp;query=any,contains,991001496059702656","Catalog Record")</f>
        <v>Catalog Record</v>
      </c>
      <c r="AV139" s="6" t="str">
        <f>HYPERLINK("http://www.worldcat.org/oclc/19764865","WorldCat Record")</f>
        <v>WorldCat Record</v>
      </c>
      <c r="AW139" s="3" t="s">
        <v>1883</v>
      </c>
      <c r="AX139" s="3" t="s">
        <v>1884</v>
      </c>
      <c r="AY139" s="3" t="s">
        <v>1885</v>
      </c>
      <c r="AZ139" s="3" t="s">
        <v>1885</v>
      </c>
      <c r="BA139" s="3" t="s">
        <v>1886</v>
      </c>
      <c r="BB139" s="3" t="s">
        <v>77</v>
      </c>
      <c r="BD139" s="3" t="s">
        <v>1887</v>
      </c>
      <c r="BE139" s="3" t="s">
        <v>1888</v>
      </c>
      <c r="BF139" s="3" t="s">
        <v>1889</v>
      </c>
    </row>
    <row r="140" spans="1:58" ht="36.75" customHeight="1" x14ac:dyDescent="0.25">
      <c r="A140" s="7" t="s">
        <v>62</v>
      </c>
      <c r="B140" s="2" t="s">
        <v>57</v>
      </c>
      <c r="C140" s="2" t="s">
        <v>58</v>
      </c>
      <c r="D140" s="2" t="s">
        <v>1890</v>
      </c>
      <c r="E140" s="2" t="s">
        <v>1891</v>
      </c>
      <c r="F140" s="2" t="s">
        <v>1892</v>
      </c>
      <c r="H140" s="3" t="s">
        <v>62</v>
      </c>
      <c r="I140" s="3" t="s">
        <v>63</v>
      </c>
      <c r="J140" s="3" t="s">
        <v>62</v>
      </c>
      <c r="K140" s="3" t="s">
        <v>62</v>
      </c>
      <c r="L140" s="3" t="s">
        <v>64</v>
      </c>
      <c r="M140" s="2" t="s">
        <v>1893</v>
      </c>
      <c r="N140" s="2" t="s">
        <v>1894</v>
      </c>
      <c r="O140" s="3" t="s">
        <v>176</v>
      </c>
      <c r="Q140" s="3" t="s">
        <v>68</v>
      </c>
      <c r="R140" s="3" t="s">
        <v>441</v>
      </c>
      <c r="S140" s="2" t="s">
        <v>1895</v>
      </c>
      <c r="T140" s="3" t="s">
        <v>70</v>
      </c>
      <c r="U140" s="4">
        <v>3</v>
      </c>
      <c r="V140" s="4">
        <v>3</v>
      </c>
      <c r="W140" s="5" t="s">
        <v>1896</v>
      </c>
      <c r="X140" s="5" t="s">
        <v>1896</v>
      </c>
      <c r="Y140" s="5" t="s">
        <v>1897</v>
      </c>
      <c r="Z140" s="5" t="s">
        <v>1897</v>
      </c>
      <c r="AA140" s="4">
        <v>235</v>
      </c>
      <c r="AB140" s="4">
        <v>164</v>
      </c>
      <c r="AC140" s="4">
        <v>164</v>
      </c>
      <c r="AD140" s="4">
        <v>2</v>
      </c>
      <c r="AE140" s="4">
        <v>2</v>
      </c>
      <c r="AF140" s="4">
        <v>7</v>
      </c>
      <c r="AG140" s="4">
        <v>7</v>
      </c>
      <c r="AH140" s="4">
        <v>0</v>
      </c>
      <c r="AI140" s="4">
        <v>0</v>
      </c>
      <c r="AJ140" s="4">
        <v>2</v>
      </c>
      <c r="AK140" s="4">
        <v>2</v>
      </c>
      <c r="AL140" s="4">
        <v>5</v>
      </c>
      <c r="AM140" s="4">
        <v>5</v>
      </c>
      <c r="AN140" s="4">
        <v>1</v>
      </c>
      <c r="AO140" s="4">
        <v>1</v>
      </c>
      <c r="AP140" s="4">
        <v>0</v>
      </c>
      <c r="AQ140" s="4">
        <v>0</v>
      </c>
      <c r="AR140" s="3" t="s">
        <v>62</v>
      </c>
      <c r="AS140" s="3" t="s">
        <v>62</v>
      </c>
      <c r="AU140" s="6" t="str">
        <f>HYPERLINK("https://creighton-primo.hosted.exlibrisgroup.com/primo-explore/search?tab=default_tab&amp;search_scope=EVERYTHING&amp;vid=01CRU&amp;lang=en_US&amp;offset=0&amp;query=any,contains,991004276739702656","Catalog Record")</f>
        <v>Catalog Record</v>
      </c>
      <c r="AV140" s="6" t="str">
        <f>HYPERLINK("http://www.worldcat.org/oclc/2895748","WorldCat Record")</f>
        <v>WorldCat Record</v>
      </c>
      <c r="AW140" s="3" t="s">
        <v>1898</v>
      </c>
      <c r="AX140" s="3" t="s">
        <v>1899</v>
      </c>
      <c r="AY140" s="3" t="s">
        <v>1900</v>
      </c>
      <c r="AZ140" s="3" t="s">
        <v>1900</v>
      </c>
      <c r="BA140" s="3" t="s">
        <v>1901</v>
      </c>
      <c r="BB140" s="3" t="s">
        <v>77</v>
      </c>
      <c r="BD140" s="3" t="s">
        <v>1902</v>
      </c>
      <c r="BE140" s="3" t="s">
        <v>1903</v>
      </c>
      <c r="BF140" s="3" t="s">
        <v>1904</v>
      </c>
    </row>
    <row r="141" spans="1:58" ht="36.75" customHeight="1" x14ac:dyDescent="0.25">
      <c r="A141" s="7" t="s">
        <v>62</v>
      </c>
      <c r="B141" s="2" t="s">
        <v>57</v>
      </c>
      <c r="C141" s="2" t="s">
        <v>58</v>
      </c>
      <c r="D141" s="2" t="s">
        <v>1905</v>
      </c>
      <c r="E141" s="2" t="s">
        <v>1906</v>
      </c>
      <c r="F141" s="2" t="s">
        <v>1907</v>
      </c>
      <c r="H141" s="3" t="s">
        <v>62</v>
      </c>
      <c r="I141" s="3" t="s">
        <v>63</v>
      </c>
      <c r="J141" s="3" t="s">
        <v>62</v>
      </c>
      <c r="K141" s="3" t="s">
        <v>62</v>
      </c>
      <c r="L141" s="3" t="s">
        <v>64</v>
      </c>
      <c r="M141" s="2" t="s">
        <v>1908</v>
      </c>
      <c r="N141" s="2" t="s">
        <v>1909</v>
      </c>
      <c r="O141" s="3" t="s">
        <v>470</v>
      </c>
      <c r="Q141" s="3" t="s">
        <v>68</v>
      </c>
      <c r="R141" s="3" t="s">
        <v>441</v>
      </c>
      <c r="S141" s="2" t="s">
        <v>1910</v>
      </c>
      <c r="T141" s="3" t="s">
        <v>70</v>
      </c>
      <c r="U141" s="4">
        <v>2</v>
      </c>
      <c r="V141" s="4">
        <v>2</v>
      </c>
      <c r="W141" s="5" t="s">
        <v>1896</v>
      </c>
      <c r="X141" s="5" t="s">
        <v>1896</v>
      </c>
      <c r="Y141" s="5" t="s">
        <v>1911</v>
      </c>
      <c r="Z141" s="5" t="s">
        <v>1911</v>
      </c>
      <c r="AA141" s="4">
        <v>252</v>
      </c>
      <c r="AB141" s="4">
        <v>170</v>
      </c>
      <c r="AC141" s="4">
        <v>172</v>
      </c>
      <c r="AD141" s="4">
        <v>2</v>
      </c>
      <c r="AE141" s="4">
        <v>2</v>
      </c>
      <c r="AF141" s="4">
        <v>9</v>
      </c>
      <c r="AG141" s="4">
        <v>9</v>
      </c>
      <c r="AH141" s="4">
        <v>1</v>
      </c>
      <c r="AI141" s="4">
        <v>1</v>
      </c>
      <c r="AJ141" s="4">
        <v>3</v>
      </c>
      <c r="AK141" s="4">
        <v>3</v>
      </c>
      <c r="AL141" s="4">
        <v>5</v>
      </c>
      <c r="AM141" s="4">
        <v>5</v>
      </c>
      <c r="AN141" s="4">
        <v>1</v>
      </c>
      <c r="AO141" s="4">
        <v>1</v>
      </c>
      <c r="AP141" s="4">
        <v>0</v>
      </c>
      <c r="AQ141" s="4">
        <v>0</v>
      </c>
      <c r="AR141" s="3" t="s">
        <v>62</v>
      </c>
      <c r="AS141" s="3" t="s">
        <v>62</v>
      </c>
      <c r="AU141" s="6" t="str">
        <f>HYPERLINK("https://creighton-primo.hosted.exlibrisgroup.com/primo-explore/search?tab=default_tab&amp;search_scope=EVERYTHING&amp;vid=01CRU&amp;lang=en_US&amp;offset=0&amp;query=any,contains,991004479099702656","Catalog Record")</f>
        <v>Catalog Record</v>
      </c>
      <c r="AV141" s="6" t="str">
        <f>HYPERLINK("http://www.worldcat.org/oclc/3590726","WorldCat Record")</f>
        <v>WorldCat Record</v>
      </c>
      <c r="AW141" s="3" t="s">
        <v>1912</v>
      </c>
      <c r="AX141" s="3" t="s">
        <v>1913</v>
      </c>
      <c r="AY141" s="3" t="s">
        <v>1914</v>
      </c>
      <c r="AZ141" s="3" t="s">
        <v>1914</v>
      </c>
      <c r="BA141" s="3" t="s">
        <v>1915</v>
      </c>
      <c r="BB141" s="3" t="s">
        <v>77</v>
      </c>
      <c r="BD141" s="3" t="s">
        <v>1916</v>
      </c>
      <c r="BE141" s="3" t="s">
        <v>1917</v>
      </c>
      <c r="BF141" s="3" t="s">
        <v>1918</v>
      </c>
    </row>
    <row r="142" spans="1:58" ht="36.75" customHeight="1" x14ac:dyDescent="0.25">
      <c r="A142" s="7" t="s">
        <v>62</v>
      </c>
      <c r="B142" s="2" t="s">
        <v>57</v>
      </c>
      <c r="C142" s="2" t="s">
        <v>58</v>
      </c>
      <c r="D142" s="2" t="s">
        <v>1919</v>
      </c>
      <c r="E142" s="2" t="s">
        <v>1920</v>
      </c>
      <c r="F142" s="2" t="s">
        <v>1921</v>
      </c>
      <c r="H142" s="3" t="s">
        <v>62</v>
      </c>
      <c r="I142" s="3" t="s">
        <v>63</v>
      </c>
      <c r="J142" s="3" t="s">
        <v>62</v>
      </c>
      <c r="K142" s="3" t="s">
        <v>62</v>
      </c>
      <c r="L142" s="3" t="s">
        <v>64</v>
      </c>
      <c r="M142" s="2" t="s">
        <v>1922</v>
      </c>
      <c r="N142" s="2" t="s">
        <v>1923</v>
      </c>
      <c r="O142" s="3" t="s">
        <v>1028</v>
      </c>
      <c r="Q142" s="3" t="s">
        <v>68</v>
      </c>
      <c r="R142" s="3" t="s">
        <v>441</v>
      </c>
      <c r="S142" s="2" t="s">
        <v>1924</v>
      </c>
      <c r="T142" s="3" t="s">
        <v>70</v>
      </c>
      <c r="U142" s="4">
        <v>2</v>
      </c>
      <c r="V142" s="4">
        <v>2</v>
      </c>
      <c r="W142" s="5" t="s">
        <v>1896</v>
      </c>
      <c r="X142" s="5" t="s">
        <v>1896</v>
      </c>
      <c r="Y142" s="5" t="s">
        <v>1925</v>
      </c>
      <c r="Z142" s="5" t="s">
        <v>1925</v>
      </c>
      <c r="AA142" s="4">
        <v>210</v>
      </c>
      <c r="AB142" s="4">
        <v>142</v>
      </c>
      <c r="AC142" s="4">
        <v>143</v>
      </c>
      <c r="AD142" s="4">
        <v>1</v>
      </c>
      <c r="AE142" s="4">
        <v>1</v>
      </c>
      <c r="AF142" s="4">
        <v>6</v>
      </c>
      <c r="AG142" s="4">
        <v>6</v>
      </c>
      <c r="AH142" s="4">
        <v>0</v>
      </c>
      <c r="AI142" s="4">
        <v>0</v>
      </c>
      <c r="AJ142" s="4">
        <v>2</v>
      </c>
      <c r="AK142" s="4">
        <v>2</v>
      </c>
      <c r="AL142" s="4">
        <v>5</v>
      </c>
      <c r="AM142" s="4">
        <v>5</v>
      </c>
      <c r="AN142" s="4">
        <v>0</v>
      </c>
      <c r="AO142" s="4">
        <v>0</v>
      </c>
      <c r="AP142" s="4">
        <v>0</v>
      </c>
      <c r="AQ142" s="4">
        <v>0</v>
      </c>
      <c r="AR142" s="3" t="s">
        <v>62</v>
      </c>
      <c r="AS142" s="3" t="s">
        <v>62</v>
      </c>
      <c r="AU142" s="6" t="str">
        <f>HYPERLINK("https://creighton-primo.hosted.exlibrisgroup.com/primo-explore/search?tab=default_tab&amp;search_scope=EVERYTHING&amp;vid=01CRU&amp;lang=en_US&amp;offset=0&amp;query=any,contains,991005145799702656","Catalog Record")</f>
        <v>Catalog Record</v>
      </c>
      <c r="AV142" s="6" t="str">
        <f>HYPERLINK("http://www.worldcat.org/oclc/7667319","WorldCat Record")</f>
        <v>WorldCat Record</v>
      </c>
      <c r="AW142" s="3" t="s">
        <v>1926</v>
      </c>
      <c r="AX142" s="3" t="s">
        <v>1927</v>
      </c>
      <c r="AY142" s="3" t="s">
        <v>1928</v>
      </c>
      <c r="AZ142" s="3" t="s">
        <v>1928</v>
      </c>
      <c r="BA142" s="3" t="s">
        <v>1929</v>
      </c>
      <c r="BB142" s="3" t="s">
        <v>77</v>
      </c>
      <c r="BD142" s="3" t="s">
        <v>1930</v>
      </c>
      <c r="BE142" s="3" t="s">
        <v>1931</v>
      </c>
      <c r="BF142" s="3" t="s">
        <v>1932</v>
      </c>
    </row>
    <row r="143" spans="1:58" ht="36.75" customHeight="1" x14ac:dyDescent="0.25">
      <c r="A143" s="7" t="s">
        <v>62</v>
      </c>
      <c r="B143" s="2" t="s">
        <v>57</v>
      </c>
      <c r="C143" s="2" t="s">
        <v>58</v>
      </c>
      <c r="D143" s="2" t="s">
        <v>1933</v>
      </c>
      <c r="E143" s="2" t="s">
        <v>1934</v>
      </c>
      <c r="F143" s="2" t="s">
        <v>1935</v>
      </c>
      <c r="H143" s="3" t="s">
        <v>62</v>
      </c>
      <c r="I143" s="3" t="s">
        <v>63</v>
      </c>
      <c r="J143" s="3" t="s">
        <v>62</v>
      </c>
      <c r="K143" s="3" t="s">
        <v>62</v>
      </c>
      <c r="L143" s="3" t="s">
        <v>64</v>
      </c>
      <c r="M143" s="2" t="s">
        <v>1936</v>
      </c>
      <c r="N143" s="2" t="s">
        <v>1937</v>
      </c>
      <c r="O143" s="3" t="s">
        <v>1012</v>
      </c>
      <c r="Q143" s="3" t="s">
        <v>68</v>
      </c>
      <c r="R143" s="3" t="s">
        <v>441</v>
      </c>
      <c r="S143" s="2" t="s">
        <v>1938</v>
      </c>
      <c r="T143" s="3" t="s">
        <v>70</v>
      </c>
      <c r="U143" s="4">
        <v>2</v>
      </c>
      <c r="V143" s="4">
        <v>2</v>
      </c>
      <c r="W143" s="5" t="s">
        <v>1896</v>
      </c>
      <c r="X143" s="5" t="s">
        <v>1896</v>
      </c>
      <c r="Y143" s="5" t="s">
        <v>1939</v>
      </c>
      <c r="Z143" s="5" t="s">
        <v>1939</v>
      </c>
      <c r="AA143" s="4">
        <v>193</v>
      </c>
      <c r="AB143" s="4">
        <v>129</v>
      </c>
      <c r="AC143" s="4">
        <v>133</v>
      </c>
      <c r="AD143" s="4">
        <v>2</v>
      </c>
      <c r="AE143" s="4">
        <v>2</v>
      </c>
      <c r="AF143" s="4">
        <v>6</v>
      </c>
      <c r="AG143" s="4">
        <v>6</v>
      </c>
      <c r="AH143" s="4">
        <v>0</v>
      </c>
      <c r="AI143" s="4">
        <v>0</v>
      </c>
      <c r="AJ143" s="4">
        <v>2</v>
      </c>
      <c r="AK143" s="4">
        <v>2</v>
      </c>
      <c r="AL143" s="4">
        <v>4</v>
      </c>
      <c r="AM143" s="4">
        <v>4</v>
      </c>
      <c r="AN143" s="4">
        <v>1</v>
      </c>
      <c r="AO143" s="4">
        <v>1</v>
      </c>
      <c r="AP143" s="4">
        <v>0</v>
      </c>
      <c r="AQ143" s="4">
        <v>0</v>
      </c>
      <c r="AR143" s="3" t="s">
        <v>62</v>
      </c>
      <c r="AS143" s="3" t="s">
        <v>62</v>
      </c>
      <c r="AU143" s="6" t="str">
        <f>HYPERLINK("https://creighton-primo.hosted.exlibrisgroup.com/primo-explore/search?tab=default_tab&amp;search_scope=EVERYTHING&amp;vid=01CRU&amp;lang=en_US&amp;offset=0&amp;query=any,contains,991001368419702656","Catalog Record")</f>
        <v>Catalog Record</v>
      </c>
      <c r="AV143" s="6" t="str">
        <f>HYPERLINK("http://www.worldcat.org/oclc/18560204","WorldCat Record")</f>
        <v>WorldCat Record</v>
      </c>
      <c r="AW143" s="3" t="s">
        <v>1940</v>
      </c>
      <c r="AX143" s="3" t="s">
        <v>1941</v>
      </c>
      <c r="AY143" s="3" t="s">
        <v>1942</v>
      </c>
      <c r="AZ143" s="3" t="s">
        <v>1942</v>
      </c>
      <c r="BA143" s="3" t="s">
        <v>1943</v>
      </c>
      <c r="BB143" s="3" t="s">
        <v>77</v>
      </c>
      <c r="BD143" s="3" t="s">
        <v>1944</v>
      </c>
      <c r="BE143" s="3" t="s">
        <v>1945</v>
      </c>
      <c r="BF143" s="3" t="s">
        <v>1946</v>
      </c>
    </row>
  </sheetData>
  <sheetProtection sheet="1" objects="1" scenarios="1"/>
  <protectedRanges>
    <protectedRange sqref="A2:A143" name="Range1"/>
    <protectedRange sqref="A1" name="Range1_1"/>
  </protectedRanges>
  <dataValidations count="1">
    <dataValidation type="list" allowBlank="1" showInputMessage="1" showErrorMessage="1" sqref="A2:A143" xr:uid="{76DBA9D8-76B7-42CE-B31F-6C663C818776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E3F2156F-1B9E-4B61-8A8B-6F14509E6B7C}"/>
</file>

<file path=customXml/itemProps2.xml><?xml version="1.0" encoding="utf-8"?>
<ds:datastoreItem xmlns:ds="http://schemas.openxmlformats.org/officeDocument/2006/customXml" ds:itemID="{B802B642-842E-46B4-BE2E-DFE2F5DE2909}"/>
</file>

<file path=customXml/itemProps3.xml><?xml version="1.0" encoding="utf-8"?>
<ds:datastoreItem xmlns:ds="http://schemas.openxmlformats.org/officeDocument/2006/customXml" ds:itemID="{248B3AC8-C5CF-4CC1-AAAD-3B944DED38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Kiscaden, Elizabeth J</dc:creator>
  <cp:lastModifiedBy>Kiscaden, Elizabeth J</cp:lastModifiedBy>
  <dcterms:created xsi:type="dcterms:W3CDTF">2022-03-03T23:04:48Z</dcterms:created>
  <dcterms:modified xsi:type="dcterms:W3CDTF">2022-03-03T23:06:14Z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282500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