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creightonuniv-my.sharepoint.com/personal/ejk60737_creighton_edu/Documents/Collections/Print Book Deselection/"/>
    </mc:Choice>
  </mc:AlternateContent>
  <xr:revisionPtr revIDLastSave="0" documentId="8_{26AF9667-C267-45E0-B728-A489799AA60F}" xr6:coauthVersionLast="47" xr6:coauthVersionMax="47" xr10:uidLastSave="{00000000-0000-0000-0000-000000000000}"/>
  <bookViews>
    <workbookView xWindow="-28920" yWindow="-120" windowWidth="29040" windowHeight="15840" xr2:uid="{AE2640D9-31AA-49E1-90F3-C8757B60F0C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T1193" i="1" l="1"/>
  <c r="AS1193" i="1"/>
  <c r="AR1193" i="1"/>
  <c r="AT1192" i="1"/>
  <c r="AS1192" i="1"/>
  <c r="AT1191" i="1"/>
  <c r="AS1191" i="1"/>
  <c r="AT1190" i="1"/>
  <c r="AS1190" i="1"/>
  <c r="AR1190" i="1"/>
  <c r="AT1189" i="1"/>
  <c r="AS1189" i="1"/>
  <c r="AR1189" i="1"/>
  <c r="AT1188" i="1"/>
  <c r="AS1188" i="1"/>
  <c r="AT1187" i="1"/>
  <c r="AS1187" i="1"/>
  <c r="AR1187" i="1"/>
  <c r="AT1186" i="1"/>
  <c r="AS1186" i="1"/>
  <c r="AR1186" i="1"/>
  <c r="AT1185" i="1"/>
  <c r="AS1185" i="1"/>
  <c r="AT1184" i="1"/>
  <c r="AS1184" i="1"/>
  <c r="AT1183" i="1"/>
  <c r="AS1183" i="1"/>
  <c r="AT1182" i="1"/>
  <c r="AS1182" i="1"/>
  <c r="AT1181" i="1"/>
  <c r="AS1181" i="1"/>
  <c r="AR1181" i="1"/>
  <c r="AT1180" i="1"/>
  <c r="AS1180" i="1"/>
  <c r="AT1179" i="1"/>
  <c r="AS1179" i="1"/>
  <c r="AR1179" i="1"/>
  <c r="AT1178" i="1"/>
  <c r="AS1178" i="1"/>
  <c r="AT1177" i="1"/>
  <c r="AS1177" i="1"/>
  <c r="AT1176" i="1"/>
  <c r="AS1176" i="1"/>
  <c r="AT1175" i="1"/>
  <c r="AS1175" i="1"/>
  <c r="AR1175" i="1"/>
  <c r="AT1174" i="1"/>
  <c r="AS1174" i="1"/>
  <c r="AT1173" i="1"/>
  <c r="AS1173" i="1"/>
  <c r="AT1172" i="1"/>
  <c r="AS1172" i="1"/>
  <c r="AR1172" i="1"/>
  <c r="AT1171" i="1"/>
  <c r="AS1171" i="1"/>
  <c r="AT1170" i="1"/>
  <c r="AS1170" i="1"/>
  <c r="AT1169" i="1"/>
  <c r="AS1169" i="1"/>
  <c r="AT1168" i="1"/>
  <c r="AS1168" i="1"/>
  <c r="AT1167" i="1"/>
  <c r="AS1167" i="1"/>
  <c r="AT1166" i="1"/>
  <c r="AS1166" i="1"/>
  <c r="AT1165" i="1"/>
  <c r="AS1165" i="1"/>
  <c r="AT1164" i="1"/>
  <c r="AS1164" i="1"/>
  <c r="AT1163" i="1"/>
  <c r="AS1163" i="1"/>
  <c r="AT1162" i="1"/>
  <c r="AS1162" i="1"/>
  <c r="AT1161" i="1"/>
  <c r="AS1161" i="1"/>
  <c r="AT1160" i="1"/>
  <c r="AS1160" i="1"/>
  <c r="AT1159" i="1"/>
  <c r="AS1159" i="1"/>
  <c r="AT1158" i="1"/>
  <c r="AS1158" i="1"/>
  <c r="AT1157" i="1"/>
  <c r="AS1157" i="1"/>
  <c r="AT1156" i="1"/>
  <c r="AS1156" i="1"/>
  <c r="AT1155" i="1"/>
  <c r="AS1155" i="1"/>
  <c r="AT1154" i="1"/>
  <c r="AS1154" i="1"/>
  <c r="AR1154" i="1"/>
  <c r="AT1153" i="1"/>
  <c r="AS1153" i="1"/>
  <c r="AT1152" i="1"/>
  <c r="AS1152" i="1"/>
  <c r="AT1151" i="1"/>
  <c r="AS1151" i="1"/>
  <c r="AR1151" i="1"/>
  <c r="AT1150" i="1"/>
  <c r="AS1150" i="1"/>
  <c r="AR1150" i="1"/>
  <c r="AT1149" i="1"/>
  <c r="AS1149" i="1"/>
  <c r="AT1148" i="1"/>
  <c r="AS1148" i="1"/>
  <c r="AT1147" i="1"/>
  <c r="AS1147" i="1"/>
  <c r="AT1146" i="1"/>
  <c r="AS1146" i="1"/>
  <c r="AT1145" i="1"/>
  <c r="AS1145" i="1"/>
  <c r="AR1145" i="1"/>
  <c r="AT1144" i="1"/>
  <c r="AS1144" i="1"/>
  <c r="AT1143" i="1"/>
  <c r="AS1143" i="1"/>
  <c r="AT1142" i="1"/>
  <c r="AS1142" i="1"/>
  <c r="AT1141" i="1"/>
  <c r="AS1141" i="1"/>
  <c r="AT1140" i="1"/>
  <c r="AS1140" i="1"/>
  <c r="AT1139" i="1"/>
  <c r="AS1139" i="1"/>
  <c r="AT1138" i="1"/>
  <c r="AS1138" i="1"/>
  <c r="AT1137" i="1"/>
  <c r="AS1137" i="1"/>
  <c r="AT1136" i="1"/>
  <c r="AS1136" i="1"/>
  <c r="AT1135" i="1"/>
  <c r="AS1135" i="1"/>
  <c r="AT1134" i="1"/>
  <c r="AS1134" i="1"/>
  <c r="AR1134" i="1"/>
  <c r="AT1133" i="1"/>
  <c r="AS1133" i="1"/>
  <c r="AR1133" i="1"/>
  <c r="AT1132" i="1"/>
  <c r="AS1132" i="1"/>
  <c r="AR1132" i="1"/>
  <c r="AT1131" i="1"/>
  <c r="AS1131" i="1"/>
  <c r="AT1130" i="1"/>
  <c r="AS1130" i="1"/>
  <c r="AT1129" i="1"/>
  <c r="AS1129" i="1"/>
  <c r="AT1128" i="1"/>
  <c r="AS1128" i="1"/>
  <c r="AT1127" i="1"/>
  <c r="AS1127" i="1"/>
  <c r="AT1126" i="1"/>
  <c r="AS1126" i="1"/>
  <c r="AT1125" i="1"/>
  <c r="AS1125" i="1"/>
  <c r="AT1124" i="1"/>
  <c r="AS1124" i="1"/>
  <c r="AT1123" i="1"/>
  <c r="AS1123" i="1"/>
  <c r="AR1123" i="1"/>
  <c r="AT1122" i="1"/>
  <c r="AS1122" i="1"/>
  <c r="AT1121" i="1"/>
  <c r="AS1121" i="1"/>
  <c r="AT1120" i="1"/>
  <c r="AS1120" i="1"/>
  <c r="AT1119" i="1"/>
  <c r="AS1119" i="1"/>
  <c r="AR1119" i="1"/>
  <c r="AT1118" i="1"/>
  <c r="AS1118" i="1"/>
  <c r="AT1117" i="1"/>
  <c r="AS1117" i="1"/>
  <c r="AT1116" i="1"/>
  <c r="AS1116" i="1"/>
  <c r="AT1115" i="1"/>
  <c r="AS1115" i="1"/>
  <c r="AR1115" i="1"/>
  <c r="AT1114" i="1"/>
  <c r="AS1114" i="1"/>
  <c r="AT1113" i="1"/>
  <c r="AS1113" i="1"/>
  <c r="AR1113" i="1"/>
  <c r="AT1112" i="1"/>
  <c r="AS1112" i="1"/>
  <c r="AT1111" i="1"/>
  <c r="AS1111" i="1"/>
  <c r="AT1110" i="1"/>
  <c r="AS1110" i="1"/>
  <c r="AT1109" i="1"/>
  <c r="AS1109" i="1"/>
  <c r="AT1108" i="1"/>
  <c r="AS1108" i="1"/>
  <c r="AR1108" i="1"/>
  <c r="AT1107" i="1"/>
  <c r="AS1107" i="1"/>
  <c r="AT1106" i="1"/>
  <c r="AS1106" i="1"/>
  <c r="AT1105" i="1"/>
  <c r="AS1105" i="1"/>
  <c r="AR1105" i="1"/>
  <c r="AT1104" i="1"/>
  <c r="AS1104" i="1"/>
  <c r="AR1104" i="1"/>
  <c r="AT1103" i="1"/>
  <c r="AS1103" i="1"/>
  <c r="AT1102" i="1"/>
  <c r="AS1102" i="1"/>
  <c r="AR1102" i="1"/>
  <c r="AT1101" i="1"/>
  <c r="AS1101" i="1"/>
  <c r="AT1100" i="1"/>
  <c r="AS1100" i="1"/>
  <c r="AT1099" i="1"/>
  <c r="AS1099" i="1"/>
  <c r="AT1098" i="1"/>
  <c r="AS1098" i="1"/>
  <c r="AR1098" i="1"/>
  <c r="AT1097" i="1"/>
  <c r="AS1097" i="1"/>
  <c r="AT1096" i="1"/>
  <c r="AS1096" i="1"/>
  <c r="AT1095" i="1"/>
  <c r="AS1095" i="1"/>
  <c r="AT1094" i="1"/>
  <c r="AS1094" i="1"/>
  <c r="AT1093" i="1"/>
  <c r="AS1093" i="1"/>
  <c r="AT1092" i="1"/>
  <c r="AS1092" i="1"/>
  <c r="AT1091" i="1"/>
  <c r="AS1091" i="1"/>
  <c r="AR1091" i="1"/>
  <c r="AT1090" i="1"/>
  <c r="AS1090" i="1"/>
  <c r="AR1090" i="1"/>
  <c r="AT1089" i="1"/>
  <c r="AS1089" i="1"/>
  <c r="AT1088" i="1"/>
  <c r="AS1088" i="1"/>
  <c r="AT1087" i="1"/>
  <c r="AS1087" i="1"/>
  <c r="AT1086" i="1"/>
  <c r="AS1086" i="1"/>
  <c r="AR1086" i="1"/>
  <c r="AT1085" i="1"/>
  <c r="AS1085" i="1"/>
  <c r="AT1084" i="1"/>
  <c r="AS1084" i="1"/>
  <c r="AT1083" i="1"/>
  <c r="AS1083" i="1"/>
  <c r="AR1083" i="1"/>
  <c r="AT1082" i="1"/>
  <c r="AS1082" i="1"/>
  <c r="AR1082" i="1"/>
  <c r="AT1081" i="1"/>
  <c r="AS1081" i="1"/>
  <c r="AR1081" i="1"/>
  <c r="AT1080" i="1"/>
  <c r="AS1080" i="1"/>
  <c r="AT1079" i="1"/>
  <c r="AS1079" i="1"/>
  <c r="AT1078" i="1"/>
  <c r="AS1078" i="1"/>
  <c r="AR1078" i="1"/>
  <c r="AT1077" i="1"/>
  <c r="AS1077" i="1"/>
  <c r="AT1076" i="1"/>
  <c r="AS1076" i="1"/>
  <c r="AT1075" i="1"/>
  <c r="AS1075" i="1"/>
  <c r="AT1074" i="1"/>
  <c r="AS1074" i="1"/>
  <c r="AT1073" i="1"/>
  <c r="AS1073" i="1"/>
  <c r="AT1072" i="1"/>
  <c r="AS1072" i="1"/>
  <c r="AR1072" i="1"/>
  <c r="AT1071" i="1"/>
  <c r="AS1071" i="1"/>
  <c r="AR1071" i="1"/>
  <c r="AT1070" i="1"/>
  <c r="AS1070" i="1"/>
  <c r="AR1070" i="1"/>
  <c r="AT1069" i="1"/>
  <c r="AS1069" i="1"/>
  <c r="AR1069" i="1"/>
  <c r="AT1068" i="1"/>
  <c r="AS1068" i="1"/>
  <c r="AR1068" i="1"/>
  <c r="AT1067" i="1"/>
  <c r="AS1067" i="1"/>
  <c r="AR1067" i="1"/>
  <c r="AT1066" i="1"/>
  <c r="AS1066" i="1"/>
  <c r="AR1066" i="1"/>
  <c r="AT1065" i="1"/>
  <c r="AS1065" i="1"/>
  <c r="AT1064" i="1"/>
  <c r="AS1064" i="1"/>
  <c r="AR1064" i="1"/>
  <c r="AT1063" i="1"/>
  <c r="AS1063" i="1"/>
  <c r="AR1063" i="1"/>
  <c r="AT1062" i="1"/>
  <c r="AS1062" i="1"/>
  <c r="AR1062" i="1"/>
  <c r="AT1061" i="1"/>
  <c r="AS1061" i="1"/>
  <c r="AT1060" i="1"/>
  <c r="AS1060" i="1"/>
  <c r="AT1059" i="1"/>
  <c r="AS1059" i="1"/>
  <c r="AT1058" i="1"/>
  <c r="AS1058" i="1"/>
  <c r="AT1057" i="1"/>
  <c r="AS1057" i="1"/>
  <c r="AT1056" i="1"/>
  <c r="AS1056" i="1"/>
  <c r="AT1055" i="1"/>
  <c r="AS1055" i="1"/>
  <c r="AT1054" i="1"/>
  <c r="AS1054" i="1"/>
  <c r="AT1053" i="1"/>
  <c r="AS1053" i="1"/>
  <c r="AT1052" i="1"/>
  <c r="AS1052" i="1"/>
  <c r="AT1051" i="1"/>
  <c r="AS1051" i="1"/>
  <c r="AT1050" i="1"/>
  <c r="AS1050" i="1"/>
  <c r="AT1049" i="1"/>
  <c r="AS1049" i="1"/>
  <c r="AT1048" i="1"/>
  <c r="AS1048" i="1"/>
  <c r="AT1047" i="1"/>
  <c r="AS1047" i="1"/>
  <c r="AT1046" i="1"/>
  <c r="AS1046" i="1"/>
  <c r="AR1046" i="1"/>
  <c r="AT1045" i="1"/>
  <c r="AS1045" i="1"/>
  <c r="AT1044" i="1"/>
  <c r="AS1044" i="1"/>
  <c r="AR1044" i="1"/>
  <c r="AT1043" i="1"/>
  <c r="AS1043" i="1"/>
  <c r="AR1043" i="1"/>
  <c r="AT1042" i="1"/>
  <c r="AS1042" i="1"/>
  <c r="AT1041" i="1"/>
  <c r="AS1041" i="1"/>
  <c r="AT1040" i="1"/>
  <c r="AS1040" i="1"/>
  <c r="AR1040" i="1"/>
  <c r="AT1039" i="1"/>
  <c r="AS1039" i="1"/>
  <c r="AR1039" i="1"/>
  <c r="AT1038" i="1"/>
  <c r="AS1038" i="1"/>
  <c r="AT1037" i="1"/>
  <c r="AS1037" i="1"/>
  <c r="AT1036" i="1"/>
  <c r="AS1036" i="1"/>
  <c r="AT1035" i="1"/>
  <c r="AS1035" i="1"/>
  <c r="AR1035" i="1"/>
  <c r="AT1034" i="1"/>
  <c r="AS1034" i="1"/>
  <c r="AR1034" i="1"/>
  <c r="AT1033" i="1"/>
  <c r="AS1033" i="1"/>
  <c r="AR1033" i="1"/>
  <c r="AT1032" i="1"/>
  <c r="AS1032" i="1"/>
  <c r="AR1032" i="1"/>
  <c r="AT1031" i="1"/>
  <c r="AS1031" i="1"/>
  <c r="AR1031" i="1"/>
  <c r="AT1030" i="1"/>
  <c r="AS1030" i="1"/>
  <c r="AR1030" i="1"/>
  <c r="AT1029" i="1"/>
  <c r="AS1029" i="1"/>
  <c r="AR1029" i="1"/>
  <c r="AT1028" i="1"/>
  <c r="AS1028" i="1"/>
  <c r="AT1027" i="1"/>
  <c r="AS1027" i="1"/>
  <c r="AT1026" i="1"/>
  <c r="AS1026" i="1"/>
  <c r="AR1026" i="1"/>
  <c r="AT1025" i="1"/>
  <c r="AS1025" i="1"/>
  <c r="AR1025" i="1"/>
  <c r="AT1024" i="1"/>
  <c r="AS1024" i="1"/>
  <c r="AT1023" i="1"/>
  <c r="AS1023" i="1"/>
  <c r="AT1022" i="1"/>
  <c r="AS1022" i="1"/>
  <c r="AR1022" i="1"/>
  <c r="AT1021" i="1"/>
  <c r="AS1021" i="1"/>
  <c r="AR1021" i="1"/>
  <c r="AT1020" i="1"/>
  <c r="AS1020" i="1"/>
  <c r="AT1019" i="1"/>
  <c r="AS1019" i="1"/>
  <c r="AR1019" i="1"/>
  <c r="AT1018" i="1"/>
  <c r="AS1018" i="1"/>
  <c r="AR1018" i="1"/>
  <c r="AT1017" i="1"/>
  <c r="AS1017" i="1"/>
  <c r="AR1017" i="1"/>
  <c r="AT1016" i="1"/>
  <c r="AS1016" i="1"/>
  <c r="AT1015" i="1"/>
  <c r="AS1015" i="1"/>
  <c r="AR1015" i="1"/>
  <c r="AT1014" i="1"/>
  <c r="AS1014" i="1"/>
  <c r="AT1013" i="1"/>
  <c r="AS1013" i="1"/>
  <c r="AR1013" i="1"/>
  <c r="AT1012" i="1"/>
  <c r="AS1012" i="1"/>
  <c r="AR1012" i="1"/>
  <c r="AT1011" i="1"/>
  <c r="AS1011" i="1"/>
  <c r="AR1011" i="1"/>
  <c r="AT1010" i="1"/>
  <c r="AS1010" i="1"/>
  <c r="AR1010" i="1"/>
  <c r="AT1009" i="1"/>
  <c r="AS1009" i="1"/>
  <c r="AR1009" i="1"/>
  <c r="AT1008" i="1"/>
  <c r="AS1008" i="1"/>
  <c r="AT1007" i="1"/>
  <c r="AS1007" i="1"/>
  <c r="AT1006" i="1"/>
  <c r="AS1006" i="1"/>
  <c r="AR1006" i="1"/>
  <c r="AT1005" i="1"/>
  <c r="AS1005" i="1"/>
  <c r="AT1004" i="1"/>
  <c r="AS1004" i="1"/>
  <c r="AR1004" i="1"/>
  <c r="AT1003" i="1"/>
  <c r="AS1003" i="1"/>
  <c r="AT1002" i="1"/>
  <c r="AS1002" i="1"/>
  <c r="AT1001" i="1"/>
  <c r="AS1001" i="1"/>
  <c r="AT1000" i="1"/>
  <c r="AS1000" i="1"/>
  <c r="AT999" i="1"/>
  <c r="AS999" i="1"/>
  <c r="AT998" i="1"/>
  <c r="AS998" i="1"/>
  <c r="AT997" i="1"/>
  <c r="AS997" i="1"/>
  <c r="AR997" i="1"/>
  <c r="AT996" i="1"/>
  <c r="AS996" i="1"/>
  <c r="AR996" i="1"/>
  <c r="AT995" i="1"/>
  <c r="AS995" i="1"/>
  <c r="AT994" i="1"/>
  <c r="AS994" i="1"/>
  <c r="AT993" i="1"/>
  <c r="AS993" i="1"/>
  <c r="AT992" i="1"/>
  <c r="AS992" i="1"/>
  <c r="AT991" i="1"/>
  <c r="AS991" i="1"/>
  <c r="AT990" i="1"/>
  <c r="AS990" i="1"/>
  <c r="AR990" i="1"/>
  <c r="AT989" i="1"/>
  <c r="AS989" i="1"/>
  <c r="AR989" i="1"/>
  <c r="AT988" i="1"/>
  <c r="AS988" i="1"/>
  <c r="AT987" i="1"/>
  <c r="AS987" i="1"/>
  <c r="AT986" i="1"/>
  <c r="AS986" i="1"/>
  <c r="AT985" i="1"/>
  <c r="AS985" i="1"/>
  <c r="AT984" i="1"/>
  <c r="AS984" i="1"/>
  <c r="AT983" i="1"/>
  <c r="AS983" i="1"/>
  <c r="AT982" i="1"/>
  <c r="AS982" i="1"/>
  <c r="AT981" i="1"/>
  <c r="AS981" i="1"/>
  <c r="AT980" i="1"/>
  <c r="AS980" i="1"/>
  <c r="AT979" i="1"/>
  <c r="AS979" i="1"/>
  <c r="AR979" i="1"/>
  <c r="AT978" i="1"/>
  <c r="AS978" i="1"/>
  <c r="AR978" i="1"/>
  <c r="AT977" i="1"/>
  <c r="AS977" i="1"/>
  <c r="AR977" i="1"/>
  <c r="AT976" i="1"/>
  <c r="AS976" i="1"/>
  <c r="AR976" i="1"/>
  <c r="AT975" i="1"/>
  <c r="AS975" i="1"/>
  <c r="AT974" i="1"/>
  <c r="AS974" i="1"/>
  <c r="AT973" i="1"/>
  <c r="AS973" i="1"/>
  <c r="AT972" i="1"/>
  <c r="AS972" i="1"/>
  <c r="AT971" i="1"/>
  <c r="AS971" i="1"/>
  <c r="AT970" i="1"/>
  <c r="AS970" i="1"/>
  <c r="AT969" i="1"/>
  <c r="AS969" i="1"/>
  <c r="AT968" i="1"/>
  <c r="AS968" i="1"/>
  <c r="AR968" i="1"/>
  <c r="AT967" i="1"/>
  <c r="AS967" i="1"/>
  <c r="AR967" i="1"/>
  <c r="AT966" i="1"/>
  <c r="AS966" i="1"/>
  <c r="AR966" i="1"/>
  <c r="AT965" i="1"/>
  <c r="AS965" i="1"/>
  <c r="AT964" i="1"/>
  <c r="AS964" i="1"/>
  <c r="AT963" i="1"/>
  <c r="AS963" i="1"/>
  <c r="AT962" i="1"/>
  <c r="AS962" i="1"/>
  <c r="AR962" i="1"/>
  <c r="AT961" i="1"/>
  <c r="AS961" i="1"/>
  <c r="AT960" i="1"/>
  <c r="AS960" i="1"/>
  <c r="AR960" i="1"/>
  <c r="AT959" i="1"/>
  <c r="AS959" i="1"/>
  <c r="AT958" i="1"/>
  <c r="AS958" i="1"/>
  <c r="AT957" i="1"/>
  <c r="AS957" i="1"/>
  <c r="AT956" i="1"/>
  <c r="AS956" i="1"/>
  <c r="AR956" i="1"/>
  <c r="AT955" i="1"/>
  <c r="AS955" i="1"/>
  <c r="AR955" i="1"/>
  <c r="AT954" i="1"/>
  <c r="AS954" i="1"/>
  <c r="AT953" i="1"/>
  <c r="AS953" i="1"/>
  <c r="AT952" i="1"/>
  <c r="AS952" i="1"/>
  <c r="AT951" i="1"/>
  <c r="AS951" i="1"/>
  <c r="AR951" i="1"/>
  <c r="AT950" i="1"/>
  <c r="AS950" i="1"/>
  <c r="AT949" i="1"/>
  <c r="AS949" i="1"/>
  <c r="AT948" i="1"/>
  <c r="AS948" i="1"/>
  <c r="AR948" i="1"/>
  <c r="AT947" i="1"/>
  <c r="AS947" i="1"/>
  <c r="AR947" i="1"/>
  <c r="AT946" i="1"/>
  <c r="AS946" i="1"/>
  <c r="AR946" i="1"/>
  <c r="AT945" i="1"/>
  <c r="AS945" i="1"/>
  <c r="AT944" i="1"/>
  <c r="AS944" i="1"/>
  <c r="AR944" i="1"/>
  <c r="AT943" i="1"/>
  <c r="AS943" i="1"/>
  <c r="AR943" i="1"/>
  <c r="AT942" i="1"/>
  <c r="AS942" i="1"/>
  <c r="AR942" i="1"/>
  <c r="AT941" i="1"/>
  <c r="AS941" i="1"/>
  <c r="AT940" i="1"/>
  <c r="AS940" i="1"/>
  <c r="AT939" i="1"/>
  <c r="AS939" i="1"/>
  <c r="AT938" i="1"/>
  <c r="AS938" i="1"/>
  <c r="AR938" i="1"/>
  <c r="AT937" i="1"/>
  <c r="AS937" i="1"/>
  <c r="AT936" i="1"/>
  <c r="AS936" i="1"/>
  <c r="AR936" i="1"/>
  <c r="AT935" i="1"/>
  <c r="AS935" i="1"/>
  <c r="AT934" i="1"/>
  <c r="AS934" i="1"/>
  <c r="AT933" i="1"/>
  <c r="AS933" i="1"/>
  <c r="AR933" i="1"/>
  <c r="AT932" i="1"/>
  <c r="AS932" i="1"/>
  <c r="AT931" i="1"/>
  <c r="AS931" i="1"/>
  <c r="AT930" i="1"/>
  <c r="AS930" i="1"/>
  <c r="AT929" i="1"/>
  <c r="AS929" i="1"/>
  <c r="AT928" i="1"/>
  <c r="AS928" i="1"/>
  <c r="AR928" i="1"/>
  <c r="AT927" i="1"/>
  <c r="AS927" i="1"/>
  <c r="AR927" i="1"/>
  <c r="AT926" i="1"/>
  <c r="AS926" i="1"/>
  <c r="AT925" i="1"/>
  <c r="AS925" i="1"/>
  <c r="AT924" i="1"/>
  <c r="AS924" i="1"/>
  <c r="AT923" i="1"/>
  <c r="AS923" i="1"/>
  <c r="AT922" i="1"/>
  <c r="AS922" i="1"/>
  <c r="AT921" i="1"/>
  <c r="AS921" i="1"/>
  <c r="AT920" i="1"/>
  <c r="AS920" i="1"/>
  <c r="AT919" i="1"/>
  <c r="AS919" i="1"/>
  <c r="AT918" i="1"/>
  <c r="AS918" i="1"/>
  <c r="AR918" i="1"/>
  <c r="AT917" i="1"/>
  <c r="AS917" i="1"/>
  <c r="AT916" i="1"/>
  <c r="AS916" i="1"/>
  <c r="AR916" i="1"/>
  <c r="AT915" i="1"/>
  <c r="AS915" i="1"/>
  <c r="AT914" i="1"/>
  <c r="AS914" i="1"/>
  <c r="AR914" i="1"/>
  <c r="AT913" i="1"/>
  <c r="AS913" i="1"/>
  <c r="AR913" i="1"/>
  <c r="AT912" i="1"/>
  <c r="AS912" i="1"/>
  <c r="AT911" i="1"/>
  <c r="AS911" i="1"/>
  <c r="AT910" i="1"/>
  <c r="AS910" i="1"/>
  <c r="AT909" i="1"/>
  <c r="AS909" i="1"/>
  <c r="AR909" i="1"/>
  <c r="AT908" i="1"/>
  <c r="AS908" i="1"/>
  <c r="AR908" i="1"/>
  <c r="AT907" i="1"/>
  <c r="AS907" i="1"/>
  <c r="AT906" i="1"/>
  <c r="AS906" i="1"/>
  <c r="AR906" i="1"/>
  <c r="AT905" i="1"/>
  <c r="AS905" i="1"/>
  <c r="AT904" i="1"/>
  <c r="AS904" i="1"/>
  <c r="AT903" i="1"/>
  <c r="AS903" i="1"/>
  <c r="AT902" i="1"/>
  <c r="AS902" i="1"/>
  <c r="AR902" i="1"/>
  <c r="AT901" i="1"/>
  <c r="AS901" i="1"/>
  <c r="AR901" i="1"/>
  <c r="AT900" i="1"/>
  <c r="AS900" i="1"/>
  <c r="AR900" i="1"/>
  <c r="AT899" i="1"/>
  <c r="AS899" i="1"/>
  <c r="AR899" i="1"/>
  <c r="AT898" i="1"/>
  <c r="AS898" i="1"/>
  <c r="AR898" i="1"/>
  <c r="AT897" i="1"/>
  <c r="AS897" i="1"/>
  <c r="AR897" i="1"/>
  <c r="AT896" i="1"/>
  <c r="AS896" i="1"/>
  <c r="AT895" i="1"/>
  <c r="AS895" i="1"/>
  <c r="AT894" i="1"/>
  <c r="AS894" i="1"/>
  <c r="AT893" i="1"/>
  <c r="AS893" i="1"/>
  <c r="AR893" i="1"/>
  <c r="AT892" i="1"/>
  <c r="AS892" i="1"/>
  <c r="AT891" i="1"/>
  <c r="AS891" i="1"/>
  <c r="AT890" i="1"/>
  <c r="AS890" i="1"/>
  <c r="AT889" i="1"/>
  <c r="AS889" i="1"/>
  <c r="AT888" i="1"/>
  <c r="AS888" i="1"/>
  <c r="AR888" i="1"/>
  <c r="AT887" i="1"/>
  <c r="AS887" i="1"/>
  <c r="AR887" i="1"/>
  <c r="AT886" i="1"/>
  <c r="AS886" i="1"/>
  <c r="AT885" i="1"/>
  <c r="AS885" i="1"/>
  <c r="AR885" i="1"/>
  <c r="AT884" i="1"/>
  <c r="AS884" i="1"/>
  <c r="AR884" i="1"/>
  <c r="AT883" i="1"/>
  <c r="AS883" i="1"/>
  <c r="AR883" i="1"/>
  <c r="AT882" i="1"/>
  <c r="AS882" i="1"/>
  <c r="AT881" i="1"/>
  <c r="AS881" i="1"/>
  <c r="AT880" i="1"/>
  <c r="AS880" i="1"/>
  <c r="AT879" i="1"/>
  <c r="AS879" i="1"/>
  <c r="AR879" i="1"/>
  <c r="AT878" i="1"/>
  <c r="AS878" i="1"/>
  <c r="AR878" i="1"/>
  <c r="AT877" i="1"/>
  <c r="AS877" i="1"/>
  <c r="AT876" i="1"/>
  <c r="AS876" i="1"/>
  <c r="AR876" i="1"/>
  <c r="AT875" i="1"/>
  <c r="AS875" i="1"/>
  <c r="AT874" i="1"/>
  <c r="AS874" i="1"/>
  <c r="AR874" i="1"/>
  <c r="AT873" i="1"/>
  <c r="AS873" i="1"/>
  <c r="AT872" i="1"/>
  <c r="AS872" i="1"/>
  <c r="AT871" i="1"/>
  <c r="AS871" i="1"/>
  <c r="AT870" i="1"/>
  <c r="AS870" i="1"/>
  <c r="AT869" i="1"/>
  <c r="AS869" i="1"/>
  <c r="AR869" i="1"/>
  <c r="AT868" i="1"/>
  <c r="AS868" i="1"/>
  <c r="AR868" i="1"/>
  <c r="AT867" i="1"/>
  <c r="AS867" i="1"/>
  <c r="AT866" i="1"/>
  <c r="AS866" i="1"/>
  <c r="AT865" i="1"/>
  <c r="AS865" i="1"/>
  <c r="AT864" i="1"/>
  <c r="AS864" i="1"/>
  <c r="AT863" i="1"/>
  <c r="AS863" i="1"/>
  <c r="AT862" i="1"/>
  <c r="AS862" i="1"/>
  <c r="AT861" i="1"/>
  <c r="AS861" i="1"/>
  <c r="AR861" i="1"/>
  <c r="AT860" i="1"/>
  <c r="AS860" i="1"/>
  <c r="AT859" i="1"/>
  <c r="AS859" i="1"/>
  <c r="AR859" i="1"/>
  <c r="AT858" i="1"/>
  <c r="AS858" i="1"/>
  <c r="AT857" i="1"/>
  <c r="AS857" i="1"/>
  <c r="AT856" i="1"/>
  <c r="AS856" i="1"/>
  <c r="AT855" i="1"/>
  <c r="AS855" i="1"/>
  <c r="AT854" i="1"/>
  <c r="AS854" i="1"/>
  <c r="AT853" i="1"/>
  <c r="AS853" i="1"/>
  <c r="AT852" i="1"/>
  <c r="AS852" i="1"/>
  <c r="AT851" i="1"/>
  <c r="AS851" i="1"/>
  <c r="AT850" i="1"/>
  <c r="AS850" i="1"/>
  <c r="AT849" i="1"/>
  <c r="AS849" i="1"/>
  <c r="AR849" i="1"/>
  <c r="AT848" i="1"/>
  <c r="AS848" i="1"/>
  <c r="AT847" i="1"/>
  <c r="AS847" i="1"/>
  <c r="AT846" i="1"/>
  <c r="AS846" i="1"/>
  <c r="AT845" i="1"/>
  <c r="AS845" i="1"/>
  <c r="AT844" i="1"/>
  <c r="AS844" i="1"/>
  <c r="AT843" i="1"/>
  <c r="AS843" i="1"/>
  <c r="AR843" i="1"/>
  <c r="AT842" i="1"/>
  <c r="AS842" i="1"/>
  <c r="AT841" i="1"/>
  <c r="AS841" i="1"/>
  <c r="AT840" i="1"/>
  <c r="AS840" i="1"/>
  <c r="AT839" i="1"/>
  <c r="AS839" i="1"/>
  <c r="AT838" i="1"/>
  <c r="AS838" i="1"/>
  <c r="AT837" i="1"/>
  <c r="AS837" i="1"/>
  <c r="AR837" i="1"/>
  <c r="AT836" i="1"/>
  <c r="AS836" i="1"/>
  <c r="AR836" i="1"/>
  <c r="AT835" i="1"/>
  <c r="AS835" i="1"/>
  <c r="AT834" i="1"/>
  <c r="AS834" i="1"/>
  <c r="AR834" i="1"/>
  <c r="AT833" i="1"/>
  <c r="AS833" i="1"/>
  <c r="AR833" i="1"/>
  <c r="AT832" i="1"/>
  <c r="AS832" i="1"/>
  <c r="AR832" i="1"/>
  <c r="AT831" i="1"/>
  <c r="AS831" i="1"/>
  <c r="AR831" i="1"/>
  <c r="AT830" i="1"/>
  <c r="AS830" i="1"/>
  <c r="AT829" i="1"/>
  <c r="AS829" i="1"/>
  <c r="AT828" i="1"/>
  <c r="AS828" i="1"/>
  <c r="AT827" i="1"/>
  <c r="AS827" i="1"/>
  <c r="AT826" i="1"/>
  <c r="AS826" i="1"/>
  <c r="AR826" i="1"/>
  <c r="AT825" i="1"/>
  <c r="AS825" i="1"/>
  <c r="AT824" i="1"/>
  <c r="AS824" i="1"/>
  <c r="AT823" i="1"/>
  <c r="AS823" i="1"/>
  <c r="AT822" i="1"/>
  <c r="AS822" i="1"/>
  <c r="AT821" i="1"/>
  <c r="AS821" i="1"/>
  <c r="AR821" i="1"/>
  <c r="AT820" i="1"/>
  <c r="AS820" i="1"/>
  <c r="AT819" i="1"/>
  <c r="AS819" i="1"/>
  <c r="AT818" i="1"/>
  <c r="AS818" i="1"/>
  <c r="AT817" i="1"/>
  <c r="AS817" i="1"/>
  <c r="AT816" i="1"/>
  <c r="AS816" i="1"/>
  <c r="AR816" i="1"/>
  <c r="AT815" i="1"/>
  <c r="AS815" i="1"/>
  <c r="AT814" i="1"/>
  <c r="AS814" i="1"/>
  <c r="AT813" i="1"/>
  <c r="AS813" i="1"/>
  <c r="AR813" i="1"/>
  <c r="AT812" i="1"/>
  <c r="AS812" i="1"/>
  <c r="AT811" i="1"/>
  <c r="AS811" i="1"/>
  <c r="AT810" i="1"/>
  <c r="AS810" i="1"/>
  <c r="AT809" i="1"/>
  <c r="AS809" i="1"/>
  <c r="AT808" i="1"/>
  <c r="AS808" i="1"/>
  <c r="AR808" i="1"/>
  <c r="AT807" i="1"/>
  <c r="AS807" i="1"/>
  <c r="AT806" i="1"/>
  <c r="AS806" i="1"/>
  <c r="AT805" i="1"/>
  <c r="AS805" i="1"/>
  <c r="AT804" i="1"/>
  <c r="AS804" i="1"/>
  <c r="AR804" i="1"/>
  <c r="AT803" i="1"/>
  <c r="AS803" i="1"/>
  <c r="AT802" i="1"/>
  <c r="AS802" i="1"/>
  <c r="AT801" i="1"/>
  <c r="AS801" i="1"/>
  <c r="AT800" i="1"/>
  <c r="AS800" i="1"/>
  <c r="AT799" i="1"/>
  <c r="AS799" i="1"/>
  <c r="AT798" i="1"/>
  <c r="AS798" i="1"/>
  <c r="AT797" i="1"/>
  <c r="AS797" i="1"/>
  <c r="AT796" i="1"/>
  <c r="AS796" i="1"/>
  <c r="AT795" i="1"/>
  <c r="AS795" i="1"/>
  <c r="AT794" i="1"/>
  <c r="AS794" i="1"/>
  <c r="AR794" i="1"/>
  <c r="AT793" i="1"/>
  <c r="AS793" i="1"/>
  <c r="AR793" i="1"/>
  <c r="AT792" i="1"/>
  <c r="AS792" i="1"/>
  <c r="AT791" i="1"/>
  <c r="AS791" i="1"/>
  <c r="AT790" i="1"/>
  <c r="AS790" i="1"/>
  <c r="AR790" i="1"/>
  <c r="AT789" i="1"/>
  <c r="AS789" i="1"/>
  <c r="AR789" i="1"/>
  <c r="AT788" i="1"/>
  <c r="AS788" i="1"/>
  <c r="AR788" i="1"/>
  <c r="AT787" i="1"/>
  <c r="AS787" i="1"/>
  <c r="AR787" i="1"/>
  <c r="AT786" i="1"/>
  <c r="AS786" i="1"/>
  <c r="AR786" i="1"/>
  <c r="AT785" i="1"/>
  <c r="AS785" i="1"/>
  <c r="AT784" i="1"/>
  <c r="AS784" i="1"/>
  <c r="AR784" i="1"/>
  <c r="AT783" i="1"/>
  <c r="AS783" i="1"/>
  <c r="AT782" i="1"/>
  <c r="AS782" i="1"/>
  <c r="AT781" i="1"/>
  <c r="AS781" i="1"/>
  <c r="AT780" i="1"/>
  <c r="AS780" i="1"/>
  <c r="AT779" i="1"/>
  <c r="AS779" i="1"/>
  <c r="AR779" i="1"/>
  <c r="AT778" i="1"/>
  <c r="AS778" i="1"/>
  <c r="AR778" i="1"/>
  <c r="AT777" i="1"/>
  <c r="AS777" i="1"/>
  <c r="AT776" i="1"/>
  <c r="AS776" i="1"/>
  <c r="AR776" i="1"/>
  <c r="AT775" i="1"/>
  <c r="AS775" i="1"/>
  <c r="AT774" i="1"/>
  <c r="AS774" i="1"/>
  <c r="AR774" i="1"/>
  <c r="AT773" i="1"/>
  <c r="AS773" i="1"/>
  <c r="AT772" i="1"/>
  <c r="AS772" i="1"/>
  <c r="AT771" i="1"/>
  <c r="AS771" i="1"/>
  <c r="AR771" i="1"/>
  <c r="AT770" i="1"/>
  <c r="AS770" i="1"/>
  <c r="AT769" i="1"/>
  <c r="AS769" i="1"/>
  <c r="AT768" i="1"/>
  <c r="AS768" i="1"/>
  <c r="AT767" i="1"/>
  <c r="AS767" i="1"/>
  <c r="AT766" i="1"/>
  <c r="AS766" i="1"/>
  <c r="AT765" i="1"/>
  <c r="AS765" i="1"/>
  <c r="AR765" i="1"/>
  <c r="AT764" i="1"/>
  <c r="AS764" i="1"/>
  <c r="AT763" i="1"/>
  <c r="AS763" i="1"/>
  <c r="AT762" i="1"/>
  <c r="AS762" i="1"/>
  <c r="AR762" i="1"/>
  <c r="AT761" i="1"/>
  <c r="AS761" i="1"/>
  <c r="AT760" i="1"/>
  <c r="AS760" i="1"/>
  <c r="AR760" i="1"/>
  <c r="AT759" i="1"/>
  <c r="AS759" i="1"/>
  <c r="AT758" i="1"/>
  <c r="AS758" i="1"/>
  <c r="AT757" i="1"/>
  <c r="AS757" i="1"/>
  <c r="AT756" i="1"/>
  <c r="AS756" i="1"/>
  <c r="AT755" i="1"/>
  <c r="AS755" i="1"/>
  <c r="AT754" i="1"/>
  <c r="AS754" i="1"/>
  <c r="AR754" i="1"/>
  <c r="AT753" i="1"/>
  <c r="AS753" i="1"/>
  <c r="AT752" i="1"/>
  <c r="AS752" i="1"/>
  <c r="AT751" i="1"/>
  <c r="AS751" i="1"/>
  <c r="AT750" i="1"/>
  <c r="AS750" i="1"/>
  <c r="AR750" i="1"/>
  <c r="AT749" i="1"/>
  <c r="AS749" i="1"/>
  <c r="AR749" i="1"/>
  <c r="AT748" i="1"/>
  <c r="AS748" i="1"/>
  <c r="AR748" i="1"/>
  <c r="AT747" i="1"/>
  <c r="AS747" i="1"/>
  <c r="AR747" i="1"/>
  <c r="AT746" i="1"/>
  <c r="AS746" i="1"/>
  <c r="AT745" i="1"/>
  <c r="AS745" i="1"/>
  <c r="AR745" i="1"/>
  <c r="AT744" i="1"/>
  <c r="AS744" i="1"/>
  <c r="AT743" i="1"/>
  <c r="AS743" i="1"/>
  <c r="AT742" i="1"/>
  <c r="AS742" i="1"/>
  <c r="AT741" i="1"/>
  <c r="AS741" i="1"/>
  <c r="AT740" i="1"/>
  <c r="AS740" i="1"/>
  <c r="AT739" i="1"/>
  <c r="AS739" i="1"/>
  <c r="AT738" i="1"/>
  <c r="AS738" i="1"/>
  <c r="AT737" i="1"/>
  <c r="AS737" i="1"/>
  <c r="AR737" i="1"/>
  <c r="AT736" i="1"/>
  <c r="AS736" i="1"/>
  <c r="AT735" i="1"/>
  <c r="AS735" i="1"/>
  <c r="AR735" i="1"/>
  <c r="AT734" i="1"/>
  <c r="AS734" i="1"/>
  <c r="AT733" i="1"/>
  <c r="AS733" i="1"/>
  <c r="AT732" i="1"/>
  <c r="AS732" i="1"/>
  <c r="AR732" i="1"/>
  <c r="AT731" i="1"/>
  <c r="AS731" i="1"/>
  <c r="AT730" i="1"/>
  <c r="AS730" i="1"/>
  <c r="AT729" i="1"/>
  <c r="AS729" i="1"/>
  <c r="AT728" i="1"/>
  <c r="AS728" i="1"/>
  <c r="AT727" i="1"/>
  <c r="AS727" i="1"/>
  <c r="AT726" i="1"/>
  <c r="AS726" i="1"/>
  <c r="AT725" i="1"/>
  <c r="AS725" i="1"/>
  <c r="AT724" i="1"/>
  <c r="AS724" i="1"/>
  <c r="AT723" i="1"/>
  <c r="AS723" i="1"/>
  <c r="AT722" i="1"/>
  <c r="AS722" i="1"/>
  <c r="AR722" i="1"/>
  <c r="AT721" i="1"/>
  <c r="AS721" i="1"/>
  <c r="AT720" i="1"/>
  <c r="AS720" i="1"/>
  <c r="AT719" i="1"/>
  <c r="AS719" i="1"/>
  <c r="AT718" i="1"/>
  <c r="AS718" i="1"/>
  <c r="AR718" i="1"/>
  <c r="AT717" i="1"/>
  <c r="AS717" i="1"/>
  <c r="AT716" i="1"/>
  <c r="AS716" i="1"/>
  <c r="AT715" i="1"/>
  <c r="AS715" i="1"/>
  <c r="AR715" i="1"/>
  <c r="AT714" i="1"/>
  <c r="AS714" i="1"/>
  <c r="AT713" i="1"/>
  <c r="AS713" i="1"/>
  <c r="AR713" i="1"/>
  <c r="AT712" i="1"/>
  <c r="AS712" i="1"/>
  <c r="AT711" i="1"/>
  <c r="AS711" i="1"/>
  <c r="AT710" i="1"/>
  <c r="AS710" i="1"/>
  <c r="AT709" i="1"/>
  <c r="AS709" i="1"/>
  <c r="AT708" i="1"/>
  <c r="AS708" i="1"/>
  <c r="AT707" i="1"/>
  <c r="AS707" i="1"/>
  <c r="AT706" i="1"/>
  <c r="AS706" i="1"/>
  <c r="AR706" i="1"/>
  <c r="AT705" i="1"/>
  <c r="AS705" i="1"/>
  <c r="AT704" i="1"/>
  <c r="AS704" i="1"/>
  <c r="AR704" i="1"/>
  <c r="AT703" i="1"/>
  <c r="AS703" i="1"/>
  <c r="AR703" i="1"/>
  <c r="AT702" i="1"/>
  <c r="AS702" i="1"/>
  <c r="AR702" i="1"/>
  <c r="AT701" i="1"/>
  <c r="AS701" i="1"/>
  <c r="AT700" i="1"/>
  <c r="AS700" i="1"/>
  <c r="AT699" i="1"/>
  <c r="AS699" i="1"/>
  <c r="AR699" i="1"/>
  <c r="AT698" i="1"/>
  <c r="AS698" i="1"/>
  <c r="AR698" i="1"/>
  <c r="AT697" i="1"/>
  <c r="AS697" i="1"/>
  <c r="AR697" i="1"/>
  <c r="AT696" i="1"/>
  <c r="AS696" i="1"/>
  <c r="AT695" i="1"/>
  <c r="AS695" i="1"/>
  <c r="AT694" i="1"/>
  <c r="AS694" i="1"/>
  <c r="AT693" i="1"/>
  <c r="AS693" i="1"/>
  <c r="AR693" i="1"/>
  <c r="AT692" i="1"/>
  <c r="AS692" i="1"/>
  <c r="AT691" i="1"/>
  <c r="AS691" i="1"/>
  <c r="AR691" i="1"/>
  <c r="AT690" i="1"/>
  <c r="AS690" i="1"/>
  <c r="AT689" i="1"/>
  <c r="AS689" i="1"/>
  <c r="AT688" i="1"/>
  <c r="AS688" i="1"/>
  <c r="AR688" i="1"/>
  <c r="AT687" i="1"/>
  <c r="AS687" i="1"/>
  <c r="AT686" i="1"/>
  <c r="AS686" i="1"/>
  <c r="AT685" i="1"/>
  <c r="AS685" i="1"/>
  <c r="AR685" i="1"/>
  <c r="AT684" i="1"/>
  <c r="AS684" i="1"/>
  <c r="AT683" i="1"/>
  <c r="AS683" i="1"/>
  <c r="AR683" i="1"/>
  <c r="AT682" i="1"/>
  <c r="AS682" i="1"/>
  <c r="AT681" i="1"/>
  <c r="AS681" i="1"/>
  <c r="AT680" i="1"/>
  <c r="AS680" i="1"/>
  <c r="AR680" i="1"/>
  <c r="AT679" i="1"/>
  <c r="AS679" i="1"/>
  <c r="AR679" i="1"/>
  <c r="AT678" i="1"/>
  <c r="AS678" i="1"/>
  <c r="AR678" i="1"/>
  <c r="AT677" i="1"/>
  <c r="AS677" i="1"/>
  <c r="AR677" i="1"/>
  <c r="AT676" i="1"/>
  <c r="AS676" i="1"/>
  <c r="AT675" i="1"/>
  <c r="AS675" i="1"/>
  <c r="AT674" i="1"/>
  <c r="AS674" i="1"/>
  <c r="AR674" i="1"/>
  <c r="AT673" i="1"/>
  <c r="AS673" i="1"/>
  <c r="AT672" i="1"/>
  <c r="AS672" i="1"/>
  <c r="AT671" i="1"/>
  <c r="AS671" i="1"/>
  <c r="AT670" i="1"/>
  <c r="AS670" i="1"/>
  <c r="AR670" i="1"/>
  <c r="AT669" i="1"/>
  <c r="AS669" i="1"/>
  <c r="AT668" i="1"/>
  <c r="AS668" i="1"/>
  <c r="AT667" i="1"/>
  <c r="AS667" i="1"/>
  <c r="AT666" i="1"/>
  <c r="AS666" i="1"/>
  <c r="AT665" i="1"/>
  <c r="AS665" i="1"/>
  <c r="AT664" i="1"/>
  <c r="AS664" i="1"/>
  <c r="AR664" i="1"/>
  <c r="AT663" i="1"/>
  <c r="AS663" i="1"/>
  <c r="AT662" i="1"/>
  <c r="AS662" i="1"/>
  <c r="AT661" i="1"/>
  <c r="AS661" i="1"/>
  <c r="AT660" i="1"/>
  <c r="AS660" i="1"/>
  <c r="AT659" i="1"/>
  <c r="AS659" i="1"/>
  <c r="AT658" i="1"/>
  <c r="AS658" i="1"/>
  <c r="AR658" i="1"/>
  <c r="AT657" i="1"/>
  <c r="AS657" i="1"/>
  <c r="AT656" i="1"/>
  <c r="AS656" i="1"/>
  <c r="AT655" i="1"/>
  <c r="AS655" i="1"/>
  <c r="AT654" i="1"/>
  <c r="AS654" i="1"/>
  <c r="AT653" i="1"/>
  <c r="AS653" i="1"/>
  <c r="AR653" i="1"/>
  <c r="AT652" i="1"/>
  <c r="AS652" i="1"/>
  <c r="AT651" i="1"/>
  <c r="AS651" i="1"/>
  <c r="AR651" i="1"/>
  <c r="AT650" i="1"/>
  <c r="AS650" i="1"/>
  <c r="AT649" i="1"/>
  <c r="AS649" i="1"/>
  <c r="AT648" i="1"/>
  <c r="AS648" i="1"/>
  <c r="AT647" i="1"/>
  <c r="AS647" i="1"/>
  <c r="AT646" i="1"/>
  <c r="AS646" i="1"/>
  <c r="AT645" i="1"/>
  <c r="AS645" i="1"/>
  <c r="AR645" i="1"/>
  <c r="AT644" i="1"/>
  <c r="AS644" i="1"/>
  <c r="AT643" i="1"/>
  <c r="AS643" i="1"/>
  <c r="AR643" i="1"/>
  <c r="AT642" i="1"/>
  <c r="AS642" i="1"/>
  <c r="AR642" i="1"/>
  <c r="AT641" i="1"/>
  <c r="AS641" i="1"/>
  <c r="AT640" i="1"/>
  <c r="AS640" i="1"/>
  <c r="AR640" i="1"/>
  <c r="AT639" i="1"/>
  <c r="AS639" i="1"/>
  <c r="AT638" i="1"/>
  <c r="AS638" i="1"/>
  <c r="AT637" i="1"/>
  <c r="AS637" i="1"/>
  <c r="AT636" i="1"/>
  <c r="AS636" i="1"/>
  <c r="AT635" i="1"/>
  <c r="AS635" i="1"/>
  <c r="AT634" i="1"/>
  <c r="AS634" i="1"/>
  <c r="AT633" i="1"/>
  <c r="AS633" i="1"/>
  <c r="AT632" i="1"/>
  <c r="AS632" i="1"/>
  <c r="AT631" i="1"/>
  <c r="AS631" i="1"/>
  <c r="AT630" i="1"/>
  <c r="AS630" i="1"/>
  <c r="AR630" i="1"/>
  <c r="AT629" i="1"/>
  <c r="AS629" i="1"/>
  <c r="AR629" i="1"/>
  <c r="AT628" i="1"/>
  <c r="AS628" i="1"/>
  <c r="AT627" i="1"/>
  <c r="AS627" i="1"/>
  <c r="AT626" i="1"/>
  <c r="AS626" i="1"/>
  <c r="AR626" i="1"/>
  <c r="AT625" i="1"/>
  <c r="AS625" i="1"/>
  <c r="AT624" i="1"/>
  <c r="AS624" i="1"/>
  <c r="AT623" i="1"/>
  <c r="AS623" i="1"/>
  <c r="AT622" i="1"/>
  <c r="AS622" i="1"/>
  <c r="AT621" i="1"/>
  <c r="AS621" i="1"/>
  <c r="AR621" i="1"/>
  <c r="AT620" i="1"/>
  <c r="AS620" i="1"/>
  <c r="AT619" i="1"/>
  <c r="AS619" i="1"/>
  <c r="AT618" i="1"/>
  <c r="AS618" i="1"/>
  <c r="AT617" i="1"/>
  <c r="AS617" i="1"/>
  <c r="AT616" i="1"/>
  <c r="AS616" i="1"/>
  <c r="AT615" i="1"/>
  <c r="AS615" i="1"/>
  <c r="AT614" i="1"/>
  <c r="AS614" i="1"/>
  <c r="AT613" i="1"/>
  <c r="AS613" i="1"/>
  <c r="AT612" i="1"/>
  <c r="AS612" i="1"/>
  <c r="AT611" i="1"/>
  <c r="AS611" i="1"/>
  <c r="AT610" i="1"/>
  <c r="AS610" i="1"/>
  <c r="AT609" i="1"/>
  <c r="AS609" i="1"/>
  <c r="AT608" i="1"/>
  <c r="AS608" i="1"/>
  <c r="AT607" i="1"/>
  <c r="AS607" i="1"/>
  <c r="AR607" i="1"/>
  <c r="AT606" i="1"/>
  <c r="AS606" i="1"/>
  <c r="AT605" i="1"/>
  <c r="AS605" i="1"/>
  <c r="AT604" i="1"/>
  <c r="AS604" i="1"/>
  <c r="AT603" i="1"/>
  <c r="AS603" i="1"/>
  <c r="AT602" i="1"/>
  <c r="AS602" i="1"/>
  <c r="AR602" i="1"/>
  <c r="AT601" i="1"/>
  <c r="AS601" i="1"/>
  <c r="AT600" i="1"/>
  <c r="AS600" i="1"/>
  <c r="AT599" i="1"/>
  <c r="AS599" i="1"/>
  <c r="AT598" i="1"/>
  <c r="AS598" i="1"/>
  <c r="AT597" i="1"/>
  <c r="AS597" i="1"/>
  <c r="AR597" i="1"/>
  <c r="AT596" i="1"/>
  <c r="AS596" i="1"/>
  <c r="AT595" i="1"/>
  <c r="AS595" i="1"/>
  <c r="AT594" i="1"/>
  <c r="AS594" i="1"/>
  <c r="AT593" i="1"/>
  <c r="AS593" i="1"/>
  <c r="AT592" i="1"/>
  <c r="AS592" i="1"/>
  <c r="AR592" i="1"/>
  <c r="AT591" i="1"/>
  <c r="AS591" i="1"/>
  <c r="AT590" i="1"/>
  <c r="AS590" i="1"/>
  <c r="AT589" i="1"/>
  <c r="AS589" i="1"/>
  <c r="AT588" i="1"/>
  <c r="AS588" i="1"/>
  <c r="AT587" i="1"/>
  <c r="AS587" i="1"/>
  <c r="AR587" i="1"/>
  <c r="AT586" i="1"/>
  <c r="AS586" i="1"/>
  <c r="AR586" i="1"/>
  <c r="AT585" i="1"/>
  <c r="AS585" i="1"/>
  <c r="AT584" i="1"/>
  <c r="AS584" i="1"/>
  <c r="AR584" i="1"/>
  <c r="AT583" i="1"/>
  <c r="AS583" i="1"/>
  <c r="AT582" i="1"/>
  <c r="AS582" i="1"/>
  <c r="AT581" i="1"/>
  <c r="AS581" i="1"/>
  <c r="AT580" i="1"/>
  <c r="AS580" i="1"/>
  <c r="AR580" i="1"/>
  <c r="AT579" i="1"/>
  <c r="AS579" i="1"/>
  <c r="AT578" i="1"/>
  <c r="AS578" i="1"/>
  <c r="AT577" i="1"/>
  <c r="AS577" i="1"/>
  <c r="AR577" i="1"/>
  <c r="AT576" i="1"/>
  <c r="AS576" i="1"/>
  <c r="AR576" i="1"/>
  <c r="AT575" i="1"/>
  <c r="AS575" i="1"/>
  <c r="AT574" i="1"/>
  <c r="AS574" i="1"/>
  <c r="AR574" i="1"/>
  <c r="AT573" i="1"/>
  <c r="AS573" i="1"/>
  <c r="AT572" i="1"/>
  <c r="AS572" i="1"/>
  <c r="AT571" i="1"/>
  <c r="AS571" i="1"/>
  <c r="AT570" i="1"/>
  <c r="AS570" i="1"/>
  <c r="AT569" i="1"/>
  <c r="AS569" i="1"/>
  <c r="AT568" i="1"/>
  <c r="AS568" i="1"/>
  <c r="AT567" i="1"/>
  <c r="AS567" i="1"/>
  <c r="AT566" i="1"/>
  <c r="AS566" i="1"/>
  <c r="AR566" i="1"/>
  <c r="AT565" i="1"/>
  <c r="AS565" i="1"/>
  <c r="AT564" i="1"/>
  <c r="AS564" i="1"/>
  <c r="AT563" i="1"/>
  <c r="AS563" i="1"/>
  <c r="AT562" i="1"/>
  <c r="AS562" i="1"/>
  <c r="AT561" i="1"/>
  <c r="AS561" i="1"/>
  <c r="AR561" i="1"/>
  <c r="AT560" i="1"/>
  <c r="AS560" i="1"/>
  <c r="AR560" i="1"/>
  <c r="AT559" i="1"/>
  <c r="AS559" i="1"/>
  <c r="AT558" i="1"/>
  <c r="AS558" i="1"/>
  <c r="AT557" i="1"/>
  <c r="AS557" i="1"/>
  <c r="AT556" i="1"/>
  <c r="AS556" i="1"/>
  <c r="AT555" i="1"/>
  <c r="AS555" i="1"/>
  <c r="AR555" i="1"/>
  <c r="AT554" i="1"/>
  <c r="AS554" i="1"/>
  <c r="AT553" i="1"/>
  <c r="AS553" i="1"/>
  <c r="AT552" i="1"/>
  <c r="AS552" i="1"/>
  <c r="AT551" i="1"/>
  <c r="AS551" i="1"/>
  <c r="AT550" i="1"/>
  <c r="AS550" i="1"/>
  <c r="AR550" i="1"/>
  <c r="AT549" i="1"/>
  <c r="AS549" i="1"/>
  <c r="AT548" i="1"/>
  <c r="AS548" i="1"/>
  <c r="AT547" i="1"/>
  <c r="AS547" i="1"/>
  <c r="AT546" i="1"/>
  <c r="AS546" i="1"/>
  <c r="AT545" i="1"/>
  <c r="AS545" i="1"/>
  <c r="AT544" i="1"/>
  <c r="AS544" i="1"/>
  <c r="AT543" i="1"/>
  <c r="AS543" i="1"/>
  <c r="AT542" i="1"/>
  <c r="AS542" i="1"/>
  <c r="AR542" i="1"/>
  <c r="AT541" i="1"/>
  <c r="AS541" i="1"/>
  <c r="AR541" i="1"/>
  <c r="AT540" i="1"/>
  <c r="AS540" i="1"/>
  <c r="AR540" i="1"/>
  <c r="AT539" i="1"/>
  <c r="AS539" i="1"/>
  <c r="AT538" i="1"/>
  <c r="AS538" i="1"/>
  <c r="AT537" i="1"/>
  <c r="AS537" i="1"/>
  <c r="AT536" i="1"/>
  <c r="AS536" i="1"/>
  <c r="AR536" i="1"/>
  <c r="AT535" i="1"/>
  <c r="AS535" i="1"/>
  <c r="AR535" i="1"/>
  <c r="AT534" i="1"/>
  <c r="AS534" i="1"/>
  <c r="AR534" i="1"/>
  <c r="AT533" i="1"/>
  <c r="AS533" i="1"/>
  <c r="AR533" i="1"/>
  <c r="AT532" i="1"/>
  <c r="AS532" i="1"/>
  <c r="AT531" i="1"/>
  <c r="AS531" i="1"/>
  <c r="AT530" i="1"/>
  <c r="AS530" i="1"/>
  <c r="AR530" i="1"/>
  <c r="AT529" i="1"/>
  <c r="AS529" i="1"/>
  <c r="AT528" i="1"/>
  <c r="AS528" i="1"/>
  <c r="AR528" i="1"/>
  <c r="AT527" i="1"/>
  <c r="AS527" i="1"/>
  <c r="AT526" i="1"/>
  <c r="AS526" i="1"/>
  <c r="AT525" i="1"/>
  <c r="AS525" i="1"/>
  <c r="AR525" i="1"/>
  <c r="AT524" i="1"/>
  <c r="AS524" i="1"/>
  <c r="AR524" i="1"/>
  <c r="AT523" i="1"/>
  <c r="AS523" i="1"/>
  <c r="AT522" i="1"/>
  <c r="AS522" i="1"/>
  <c r="AR522" i="1"/>
  <c r="AT521" i="1"/>
  <c r="AS521" i="1"/>
  <c r="AT520" i="1"/>
  <c r="AS520" i="1"/>
  <c r="AR520" i="1"/>
  <c r="AT519" i="1"/>
  <c r="AS519" i="1"/>
  <c r="AT518" i="1"/>
  <c r="AS518" i="1"/>
  <c r="AT517" i="1"/>
  <c r="AS517" i="1"/>
  <c r="AT516" i="1"/>
  <c r="AS516" i="1"/>
  <c r="AT515" i="1"/>
  <c r="AS515" i="1"/>
  <c r="AT514" i="1"/>
  <c r="AS514" i="1"/>
  <c r="AT513" i="1"/>
  <c r="AS513" i="1"/>
  <c r="AT512" i="1"/>
  <c r="AS512" i="1"/>
  <c r="AT511" i="1"/>
  <c r="AS511" i="1"/>
  <c r="AR511" i="1"/>
  <c r="AT510" i="1"/>
  <c r="AS510" i="1"/>
  <c r="AT509" i="1"/>
  <c r="AS509" i="1"/>
  <c r="AT508" i="1"/>
  <c r="AS508" i="1"/>
  <c r="AT507" i="1"/>
  <c r="AS507" i="1"/>
  <c r="AR507" i="1"/>
  <c r="AT506" i="1"/>
  <c r="AS506" i="1"/>
  <c r="AT505" i="1"/>
  <c r="AS505" i="1"/>
  <c r="AT504" i="1"/>
  <c r="AS504" i="1"/>
  <c r="AR504" i="1"/>
  <c r="AT503" i="1"/>
  <c r="AS503" i="1"/>
  <c r="AT502" i="1"/>
  <c r="AS502" i="1"/>
  <c r="AT501" i="1"/>
  <c r="AS501" i="1"/>
  <c r="AR501" i="1"/>
  <c r="AT500" i="1"/>
  <c r="AS500" i="1"/>
  <c r="AR500" i="1"/>
  <c r="AT499" i="1"/>
  <c r="AS499" i="1"/>
  <c r="AR499" i="1"/>
  <c r="AT498" i="1"/>
  <c r="AS498" i="1"/>
  <c r="AT497" i="1"/>
  <c r="AS497" i="1"/>
  <c r="AR497" i="1"/>
  <c r="AT496" i="1"/>
  <c r="AS496" i="1"/>
  <c r="AT495" i="1"/>
  <c r="AS495" i="1"/>
  <c r="AR495" i="1"/>
  <c r="AT494" i="1"/>
  <c r="AS494" i="1"/>
  <c r="AT493" i="1"/>
  <c r="AS493" i="1"/>
  <c r="AR493" i="1"/>
  <c r="AT492" i="1"/>
  <c r="AS492" i="1"/>
  <c r="AR492" i="1"/>
  <c r="AT491" i="1"/>
  <c r="AS491" i="1"/>
  <c r="AT490" i="1"/>
  <c r="AS490" i="1"/>
  <c r="AT489" i="1"/>
  <c r="AS489" i="1"/>
  <c r="AT488" i="1"/>
  <c r="AS488" i="1"/>
  <c r="AT487" i="1"/>
  <c r="AS487" i="1"/>
  <c r="AR487" i="1"/>
  <c r="AT486" i="1"/>
  <c r="AS486" i="1"/>
  <c r="AT485" i="1"/>
  <c r="AS485" i="1"/>
  <c r="AT484" i="1"/>
  <c r="AS484" i="1"/>
  <c r="AT483" i="1"/>
  <c r="AS483" i="1"/>
  <c r="AR483" i="1"/>
  <c r="AT482" i="1"/>
  <c r="AS482" i="1"/>
  <c r="AR482" i="1"/>
  <c r="AT481" i="1"/>
  <c r="AS481" i="1"/>
  <c r="AT480" i="1"/>
  <c r="AS480" i="1"/>
  <c r="AR480" i="1"/>
  <c r="AT479" i="1"/>
  <c r="AS479" i="1"/>
  <c r="AT478" i="1"/>
  <c r="AS478" i="1"/>
  <c r="AT477" i="1"/>
  <c r="AS477" i="1"/>
  <c r="AT476" i="1"/>
  <c r="AS476" i="1"/>
  <c r="AT475" i="1"/>
  <c r="AS475" i="1"/>
  <c r="AT474" i="1"/>
  <c r="AS474" i="1"/>
  <c r="AT473" i="1"/>
  <c r="AS473" i="1"/>
  <c r="AT472" i="1"/>
  <c r="AS472" i="1"/>
  <c r="AR472" i="1"/>
  <c r="AT471" i="1"/>
  <c r="AS471" i="1"/>
  <c r="AT470" i="1"/>
  <c r="AS470" i="1"/>
  <c r="AT469" i="1"/>
  <c r="AS469" i="1"/>
  <c r="AR469" i="1"/>
  <c r="AT468" i="1"/>
  <c r="AS468" i="1"/>
  <c r="AR468" i="1"/>
  <c r="AT467" i="1"/>
  <c r="AS467" i="1"/>
  <c r="AT466" i="1"/>
  <c r="AS466" i="1"/>
  <c r="AT465" i="1"/>
  <c r="AS465" i="1"/>
  <c r="AT464" i="1"/>
  <c r="AS464" i="1"/>
  <c r="AT463" i="1"/>
  <c r="AS463" i="1"/>
  <c r="AR463" i="1"/>
  <c r="AT462" i="1"/>
  <c r="AS462" i="1"/>
  <c r="AT461" i="1"/>
  <c r="AS461" i="1"/>
  <c r="AT460" i="1"/>
  <c r="AS460" i="1"/>
  <c r="AT459" i="1"/>
  <c r="AS459" i="1"/>
  <c r="AT458" i="1"/>
  <c r="AS458" i="1"/>
  <c r="AT457" i="1"/>
  <c r="AS457" i="1"/>
  <c r="AT456" i="1"/>
  <c r="AS456" i="1"/>
  <c r="AT455" i="1"/>
  <c r="AS455" i="1"/>
  <c r="AT454" i="1"/>
  <c r="AS454" i="1"/>
  <c r="AT453" i="1"/>
  <c r="AS453" i="1"/>
  <c r="AT452" i="1"/>
  <c r="AS452" i="1"/>
  <c r="AT451" i="1"/>
  <c r="AS451" i="1"/>
  <c r="AT450" i="1"/>
  <c r="AS450" i="1"/>
  <c r="AT449" i="1"/>
  <c r="AS449" i="1"/>
  <c r="AR449" i="1"/>
  <c r="AT448" i="1"/>
  <c r="AS448" i="1"/>
  <c r="AR448" i="1"/>
  <c r="AT447" i="1"/>
  <c r="AS447" i="1"/>
  <c r="AT446" i="1"/>
  <c r="AS446" i="1"/>
  <c r="AR446" i="1"/>
  <c r="AT445" i="1"/>
  <c r="AS445" i="1"/>
  <c r="AT444" i="1"/>
  <c r="AS444" i="1"/>
  <c r="AT443" i="1"/>
  <c r="AS443" i="1"/>
  <c r="AT442" i="1"/>
  <c r="AS442" i="1"/>
  <c r="AT441" i="1"/>
  <c r="AS441" i="1"/>
  <c r="AT440" i="1"/>
  <c r="AS440" i="1"/>
  <c r="AT439" i="1"/>
  <c r="AS439" i="1"/>
  <c r="AT438" i="1"/>
  <c r="AS438" i="1"/>
  <c r="AR438" i="1"/>
  <c r="AT437" i="1"/>
  <c r="AS437" i="1"/>
  <c r="AT436" i="1"/>
  <c r="AS436" i="1"/>
  <c r="AT435" i="1"/>
  <c r="AS435" i="1"/>
  <c r="AT434" i="1"/>
  <c r="AS434" i="1"/>
  <c r="AT433" i="1"/>
  <c r="AS433" i="1"/>
  <c r="AT432" i="1"/>
  <c r="AS432" i="1"/>
  <c r="AT431" i="1"/>
  <c r="AS431" i="1"/>
  <c r="AT430" i="1"/>
  <c r="AS430" i="1"/>
  <c r="AT429" i="1"/>
  <c r="AS429" i="1"/>
  <c r="AT428" i="1"/>
  <c r="AS428" i="1"/>
  <c r="AT427" i="1"/>
  <c r="AS427" i="1"/>
  <c r="AT426" i="1"/>
  <c r="AS426" i="1"/>
  <c r="AT425" i="1"/>
  <c r="AS425" i="1"/>
  <c r="AT424" i="1"/>
  <c r="AS424" i="1"/>
  <c r="AT423" i="1"/>
  <c r="AS423" i="1"/>
  <c r="AT422" i="1"/>
  <c r="AS422" i="1"/>
  <c r="AT421" i="1"/>
  <c r="AS421" i="1"/>
  <c r="AR421" i="1"/>
  <c r="AT420" i="1"/>
  <c r="AS420" i="1"/>
  <c r="AT419" i="1"/>
  <c r="AS419" i="1"/>
  <c r="AR419" i="1"/>
  <c r="AT418" i="1"/>
  <c r="AS418" i="1"/>
  <c r="AR418" i="1"/>
  <c r="AT417" i="1"/>
  <c r="AS417" i="1"/>
  <c r="AR417" i="1"/>
  <c r="AT416" i="1"/>
  <c r="AS416" i="1"/>
  <c r="AT415" i="1"/>
  <c r="AS415" i="1"/>
  <c r="AR415" i="1"/>
  <c r="AT414" i="1"/>
  <c r="AS414" i="1"/>
  <c r="AR414" i="1"/>
  <c r="AT413" i="1"/>
  <c r="AS413" i="1"/>
  <c r="AT412" i="1"/>
  <c r="AS412" i="1"/>
  <c r="AT411" i="1"/>
  <c r="AS411" i="1"/>
  <c r="AT410" i="1"/>
  <c r="AS410" i="1"/>
  <c r="AT409" i="1"/>
  <c r="AS409" i="1"/>
  <c r="AR409" i="1"/>
  <c r="AT408" i="1"/>
  <c r="AS408" i="1"/>
  <c r="AR408" i="1"/>
  <c r="AT407" i="1"/>
  <c r="AS407" i="1"/>
  <c r="AT406" i="1"/>
  <c r="AS406" i="1"/>
  <c r="AT405" i="1"/>
  <c r="AS405" i="1"/>
  <c r="AT404" i="1"/>
  <c r="AS404" i="1"/>
  <c r="AR404" i="1"/>
  <c r="AT403" i="1"/>
  <c r="AS403" i="1"/>
  <c r="AT402" i="1"/>
  <c r="AS402" i="1"/>
  <c r="AT401" i="1"/>
  <c r="AS401" i="1"/>
  <c r="AT400" i="1"/>
  <c r="AS400" i="1"/>
  <c r="AT399" i="1"/>
  <c r="AS399" i="1"/>
  <c r="AT398" i="1"/>
  <c r="AS398" i="1"/>
  <c r="AT397" i="1"/>
  <c r="AS397" i="1"/>
  <c r="AT396" i="1"/>
  <c r="AS396" i="1"/>
  <c r="AT395" i="1"/>
  <c r="AS395" i="1"/>
  <c r="AT394" i="1"/>
  <c r="AS394" i="1"/>
  <c r="AT393" i="1"/>
  <c r="AS393" i="1"/>
  <c r="AT392" i="1"/>
  <c r="AS392" i="1"/>
  <c r="AT391" i="1"/>
  <c r="AS391" i="1"/>
  <c r="AR391" i="1"/>
  <c r="AT390" i="1"/>
  <c r="AS390" i="1"/>
  <c r="AT389" i="1"/>
  <c r="AS389" i="1"/>
  <c r="AT388" i="1"/>
  <c r="AS388" i="1"/>
  <c r="AR388" i="1"/>
  <c r="AT387" i="1"/>
  <c r="AS387" i="1"/>
  <c r="AT386" i="1"/>
  <c r="AS386" i="1"/>
  <c r="AT385" i="1"/>
  <c r="AS385" i="1"/>
  <c r="AR385" i="1"/>
  <c r="AT384" i="1"/>
  <c r="AS384" i="1"/>
  <c r="AT383" i="1"/>
  <c r="AS383" i="1"/>
  <c r="AR383" i="1"/>
  <c r="AT382" i="1"/>
  <c r="AS382" i="1"/>
  <c r="AR382" i="1"/>
  <c r="AT381" i="1"/>
  <c r="AS381" i="1"/>
  <c r="AT380" i="1"/>
  <c r="AS380" i="1"/>
  <c r="AT379" i="1"/>
  <c r="AS379" i="1"/>
  <c r="AR379" i="1"/>
  <c r="AT378" i="1"/>
  <c r="AS378" i="1"/>
  <c r="AT377" i="1"/>
  <c r="AS377" i="1"/>
  <c r="AT376" i="1"/>
  <c r="AS376" i="1"/>
  <c r="AR376" i="1"/>
  <c r="AT375" i="1"/>
  <c r="AS375" i="1"/>
  <c r="AT374" i="1"/>
  <c r="AS374" i="1"/>
  <c r="AT373" i="1"/>
  <c r="AS373" i="1"/>
  <c r="AR373" i="1"/>
  <c r="AT372" i="1"/>
  <c r="AS372" i="1"/>
  <c r="AR372" i="1"/>
  <c r="AT371" i="1"/>
  <c r="AS371" i="1"/>
  <c r="AR371" i="1"/>
  <c r="AT370" i="1"/>
  <c r="AS370" i="1"/>
  <c r="AT369" i="1"/>
  <c r="AS369" i="1"/>
  <c r="AT368" i="1"/>
  <c r="AS368" i="1"/>
  <c r="AT367" i="1"/>
  <c r="AS367" i="1"/>
  <c r="AT366" i="1"/>
  <c r="AS366" i="1"/>
  <c r="AR366" i="1"/>
  <c r="AT365" i="1"/>
  <c r="AS365" i="1"/>
  <c r="AR365" i="1"/>
  <c r="AT364" i="1"/>
  <c r="AS364" i="1"/>
  <c r="AR364" i="1"/>
  <c r="AT363" i="1"/>
  <c r="AS363" i="1"/>
  <c r="AT362" i="1"/>
  <c r="AS362" i="1"/>
  <c r="AR362" i="1"/>
  <c r="AT361" i="1"/>
  <c r="AS361" i="1"/>
  <c r="AR361" i="1"/>
  <c r="AT360" i="1"/>
  <c r="AS360" i="1"/>
  <c r="AR360" i="1"/>
  <c r="AT359" i="1"/>
  <c r="AS359" i="1"/>
  <c r="AR359" i="1"/>
  <c r="AT358" i="1"/>
  <c r="AS358" i="1"/>
  <c r="AT357" i="1"/>
  <c r="AS357" i="1"/>
  <c r="AR357" i="1"/>
  <c r="AT356" i="1"/>
  <c r="AS356" i="1"/>
  <c r="AT355" i="1"/>
  <c r="AS355" i="1"/>
  <c r="AT354" i="1"/>
  <c r="AS354" i="1"/>
  <c r="AT353" i="1"/>
  <c r="AS353" i="1"/>
  <c r="AT352" i="1"/>
  <c r="AS352" i="1"/>
  <c r="AT351" i="1"/>
  <c r="AS351" i="1"/>
  <c r="AR351" i="1"/>
  <c r="AT350" i="1"/>
  <c r="AS350" i="1"/>
  <c r="AR350" i="1"/>
  <c r="AT349" i="1"/>
  <c r="AS349" i="1"/>
  <c r="AT348" i="1"/>
  <c r="AS348" i="1"/>
  <c r="AR348" i="1"/>
  <c r="AT347" i="1"/>
  <c r="AS347" i="1"/>
  <c r="AT346" i="1"/>
  <c r="AS346" i="1"/>
  <c r="AR346" i="1"/>
  <c r="AT345" i="1"/>
  <c r="AS345" i="1"/>
  <c r="AT344" i="1"/>
  <c r="AS344" i="1"/>
  <c r="AR344" i="1"/>
  <c r="AT343" i="1"/>
  <c r="AS343" i="1"/>
  <c r="AR343" i="1"/>
  <c r="AT342" i="1"/>
  <c r="AS342" i="1"/>
  <c r="AR342" i="1"/>
  <c r="AT341" i="1"/>
  <c r="AS341" i="1"/>
  <c r="AR341" i="1"/>
  <c r="AT340" i="1"/>
  <c r="AS340" i="1"/>
  <c r="AT339" i="1"/>
  <c r="AS339" i="1"/>
  <c r="AT338" i="1"/>
  <c r="AS338" i="1"/>
  <c r="AT337" i="1"/>
  <c r="AS337" i="1"/>
  <c r="AT336" i="1"/>
  <c r="AS336" i="1"/>
  <c r="AT335" i="1"/>
  <c r="AS335" i="1"/>
  <c r="AT334" i="1"/>
  <c r="AS334" i="1"/>
  <c r="AT333" i="1"/>
  <c r="AS333" i="1"/>
  <c r="AT332" i="1"/>
  <c r="AS332" i="1"/>
  <c r="AR332" i="1"/>
  <c r="AT331" i="1"/>
  <c r="AS331" i="1"/>
  <c r="AT330" i="1"/>
  <c r="AS330" i="1"/>
  <c r="AR330" i="1"/>
  <c r="AT329" i="1"/>
  <c r="AS329" i="1"/>
  <c r="AR329" i="1"/>
  <c r="AT328" i="1"/>
  <c r="AS328" i="1"/>
  <c r="AT327" i="1"/>
  <c r="AS327" i="1"/>
  <c r="AR327" i="1"/>
  <c r="AT326" i="1"/>
  <c r="AS326" i="1"/>
  <c r="AR326" i="1"/>
  <c r="AT325" i="1"/>
  <c r="AS325" i="1"/>
  <c r="AT324" i="1"/>
  <c r="AS324" i="1"/>
  <c r="AT323" i="1"/>
  <c r="AS323" i="1"/>
  <c r="AT322" i="1"/>
  <c r="AS322" i="1"/>
  <c r="AT321" i="1"/>
  <c r="AS321" i="1"/>
  <c r="AT320" i="1"/>
  <c r="AS320" i="1"/>
  <c r="AR320" i="1"/>
  <c r="AT319" i="1"/>
  <c r="AS319" i="1"/>
  <c r="AT318" i="1"/>
  <c r="AS318" i="1"/>
  <c r="AT317" i="1"/>
  <c r="AS317" i="1"/>
  <c r="AT316" i="1"/>
  <c r="AS316" i="1"/>
  <c r="AT315" i="1"/>
  <c r="AS315" i="1"/>
  <c r="AR315" i="1"/>
  <c r="AT314" i="1"/>
  <c r="AS314" i="1"/>
  <c r="AR314" i="1"/>
  <c r="AT313" i="1"/>
  <c r="AS313" i="1"/>
  <c r="AR313" i="1"/>
  <c r="AT312" i="1"/>
  <c r="AS312" i="1"/>
  <c r="AR312" i="1"/>
  <c r="AT311" i="1"/>
  <c r="AS311" i="1"/>
  <c r="AT310" i="1"/>
  <c r="AS310" i="1"/>
  <c r="AR310" i="1"/>
  <c r="AT309" i="1"/>
  <c r="AS309" i="1"/>
  <c r="AT308" i="1"/>
  <c r="AS308" i="1"/>
  <c r="AT307" i="1"/>
  <c r="AS307" i="1"/>
  <c r="AR307" i="1"/>
  <c r="AT306" i="1"/>
  <c r="AS306" i="1"/>
  <c r="AT305" i="1"/>
  <c r="AS305" i="1"/>
  <c r="AT304" i="1"/>
  <c r="AS304" i="1"/>
  <c r="AT303" i="1"/>
  <c r="AS303" i="1"/>
  <c r="AR303" i="1"/>
  <c r="AT302" i="1"/>
  <c r="AS302" i="1"/>
  <c r="AT301" i="1"/>
  <c r="AS301" i="1"/>
  <c r="AR301" i="1"/>
  <c r="AT300" i="1"/>
  <c r="AS300" i="1"/>
  <c r="AR300" i="1"/>
  <c r="AT299" i="1"/>
  <c r="AS299" i="1"/>
  <c r="AT298" i="1"/>
  <c r="AS298" i="1"/>
  <c r="AT297" i="1"/>
  <c r="AS297" i="1"/>
  <c r="AR297" i="1"/>
  <c r="AT296" i="1"/>
  <c r="AS296" i="1"/>
  <c r="AT295" i="1"/>
  <c r="AS295" i="1"/>
  <c r="AT294" i="1"/>
  <c r="AS294" i="1"/>
  <c r="AR294" i="1"/>
  <c r="AT293" i="1"/>
  <c r="AS293" i="1"/>
  <c r="AT292" i="1"/>
  <c r="AS292" i="1"/>
  <c r="AR292" i="1"/>
  <c r="AT291" i="1"/>
  <c r="AS291" i="1"/>
  <c r="AT290" i="1"/>
  <c r="AS290" i="1"/>
  <c r="AT289" i="1"/>
  <c r="AS289" i="1"/>
  <c r="AT288" i="1"/>
  <c r="AS288" i="1"/>
  <c r="AT287" i="1"/>
  <c r="AS287" i="1"/>
  <c r="AT286" i="1"/>
  <c r="AS286" i="1"/>
  <c r="AR286" i="1"/>
  <c r="AT285" i="1"/>
  <c r="AS285" i="1"/>
  <c r="AT284" i="1"/>
  <c r="AS284" i="1"/>
  <c r="AT283" i="1"/>
  <c r="AS283" i="1"/>
  <c r="AT282" i="1"/>
  <c r="AS282" i="1"/>
  <c r="AT281" i="1"/>
  <c r="AS281" i="1"/>
  <c r="AR281" i="1"/>
  <c r="AT280" i="1"/>
  <c r="AS280" i="1"/>
  <c r="AT279" i="1"/>
  <c r="AS279" i="1"/>
  <c r="AT278" i="1"/>
  <c r="AS278" i="1"/>
  <c r="AT277" i="1"/>
  <c r="AS277" i="1"/>
  <c r="AT276" i="1"/>
  <c r="AS276" i="1"/>
  <c r="AT275" i="1"/>
  <c r="AS275" i="1"/>
  <c r="AT274" i="1"/>
  <c r="AS274" i="1"/>
  <c r="AT273" i="1"/>
  <c r="AS273" i="1"/>
  <c r="AT272" i="1"/>
  <c r="AS272" i="1"/>
  <c r="AT271" i="1"/>
  <c r="AS271" i="1"/>
  <c r="AT270" i="1"/>
  <c r="AS270" i="1"/>
  <c r="AT269" i="1"/>
  <c r="AS269" i="1"/>
  <c r="AR269" i="1"/>
  <c r="AT268" i="1"/>
  <c r="AS268" i="1"/>
  <c r="AT267" i="1"/>
  <c r="AS267" i="1"/>
  <c r="AT266" i="1"/>
  <c r="AS266" i="1"/>
  <c r="AT265" i="1"/>
  <c r="AS265" i="1"/>
  <c r="AT264" i="1"/>
  <c r="AS264" i="1"/>
  <c r="AR264" i="1"/>
  <c r="AT263" i="1"/>
  <c r="AS263" i="1"/>
  <c r="AR263" i="1"/>
  <c r="AT262" i="1"/>
  <c r="AS262" i="1"/>
  <c r="AR262" i="1"/>
  <c r="AT261" i="1"/>
  <c r="AS261" i="1"/>
  <c r="AR261" i="1"/>
  <c r="AT260" i="1"/>
  <c r="AS260" i="1"/>
  <c r="AT259" i="1"/>
  <c r="AS259" i="1"/>
  <c r="AR259" i="1"/>
  <c r="AT258" i="1"/>
  <c r="AS258" i="1"/>
  <c r="AT257" i="1"/>
  <c r="AS257" i="1"/>
  <c r="AT256" i="1"/>
  <c r="AS256" i="1"/>
  <c r="AT255" i="1"/>
  <c r="AS255" i="1"/>
  <c r="AT254" i="1"/>
  <c r="AS254" i="1"/>
  <c r="AR254" i="1"/>
  <c r="AT253" i="1"/>
  <c r="AS253" i="1"/>
  <c r="AT252" i="1"/>
  <c r="AS252" i="1"/>
  <c r="AT251" i="1"/>
  <c r="AS251" i="1"/>
  <c r="AT250" i="1"/>
  <c r="AS250" i="1"/>
  <c r="AT249" i="1"/>
  <c r="AS249" i="1"/>
  <c r="AT248" i="1"/>
  <c r="AS248" i="1"/>
  <c r="AT247" i="1"/>
  <c r="AS247" i="1"/>
  <c r="AT246" i="1"/>
  <c r="AS246" i="1"/>
  <c r="AT245" i="1"/>
  <c r="AS245" i="1"/>
  <c r="AT244" i="1"/>
  <c r="AS244" i="1"/>
  <c r="AT243" i="1"/>
  <c r="AS243" i="1"/>
  <c r="AT242" i="1"/>
  <c r="AS242" i="1"/>
  <c r="AT241" i="1"/>
  <c r="AS241" i="1"/>
  <c r="AT240" i="1"/>
  <c r="AS240" i="1"/>
  <c r="AR240" i="1"/>
  <c r="AT239" i="1"/>
  <c r="AS239" i="1"/>
  <c r="AT238" i="1"/>
  <c r="AS238" i="1"/>
  <c r="AT237" i="1"/>
  <c r="AS237" i="1"/>
  <c r="AT236" i="1"/>
  <c r="AS236" i="1"/>
  <c r="AT235" i="1"/>
  <c r="AS235" i="1"/>
  <c r="AT234" i="1"/>
  <c r="AS234" i="1"/>
  <c r="AT233" i="1"/>
  <c r="AS233" i="1"/>
  <c r="AT232" i="1"/>
  <c r="AS232" i="1"/>
  <c r="AT231" i="1"/>
  <c r="AS231" i="1"/>
  <c r="AT230" i="1"/>
  <c r="AS230" i="1"/>
  <c r="AT229" i="1"/>
  <c r="AS229" i="1"/>
  <c r="AT228" i="1"/>
  <c r="AS228" i="1"/>
  <c r="AT227" i="1"/>
  <c r="AS227" i="1"/>
  <c r="AT226" i="1"/>
  <c r="AS226" i="1"/>
  <c r="AT225" i="1"/>
  <c r="AS225" i="1"/>
  <c r="AT224" i="1"/>
  <c r="AS224" i="1"/>
  <c r="AT223" i="1"/>
  <c r="AS223" i="1"/>
  <c r="AT222" i="1"/>
  <c r="AS222" i="1"/>
  <c r="AT221" i="1"/>
  <c r="AS221" i="1"/>
  <c r="AT220" i="1"/>
  <c r="AS220" i="1"/>
  <c r="AT219" i="1"/>
  <c r="AS219" i="1"/>
  <c r="AT218" i="1"/>
  <c r="AS218" i="1"/>
  <c r="AR218" i="1"/>
  <c r="AT217" i="1"/>
  <c r="AS217" i="1"/>
  <c r="AT216" i="1"/>
  <c r="AS216" i="1"/>
  <c r="AT215" i="1"/>
  <c r="AS215" i="1"/>
  <c r="AT214" i="1"/>
  <c r="AS214" i="1"/>
  <c r="AT213" i="1"/>
  <c r="AS213" i="1"/>
  <c r="AT212" i="1"/>
  <c r="AS212" i="1"/>
  <c r="AT211" i="1"/>
  <c r="AS211" i="1"/>
  <c r="AT210" i="1"/>
  <c r="AS210" i="1"/>
  <c r="AT209" i="1"/>
  <c r="AS209" i="1"/>
  <c r="AT208" i="1"/>
  <c r="AS208" i="1"/>
  <c r="AT207" i="1"/>
  <c r="AS207" i="1"/>
  <c r="AT206" i="1"/>
  <c r="AS206" i="1"/>
  <c r="AT205" i="1"/>
  <c r="AS205" i="1"/>
  <c r="AT204" i="1"/>
  <c r="AS204" i="1"/>
  <c r="AT203" i="1"/>
  <c r="AS203" i="1"/>
  <c r="AT202" i="1"/>
  <c r="AS202" i="1"/>
  <c r="AT201" i="1"/>
  <c r="AS201" i="1"/>
  <c r="AT200" i="1"/>
  <c r="AS200" i="1"/>
  <c r="AT199" i="1"/>
  <c r="AS199" i="1"/>
  <c r="AT198" i="1"/>
  <c r="AS198" i="1"/>
  <c r="AT197" i="1"/>
  <c r="AS197" i="1"/>
  <c r="AT196" i="1"/>
  <c r="AS196" i="1"/>
  <c r="AT195" i="1"/>
  <c r="AS195" i="1"/>
  <c r="AT194" i="1"/>
  <c r="AS194" i="1"/>
  <c r="AR194" i="1"/>
  <c r="AT193" i="1"/>
  <c r="AS193" i="1"/>
  <c r="AT192" i="1"/>
  <c r="AS192" i="1"/>
  <c r="AT191" i="1"/>
  <c r="AS191" i="1"/>
  <c r="AR191" i="1"/>
  <c r="AT190" i="1"/>
  <c r="AS190" i="1"/>
  <c r="AT189" i="1"/>
  <c r="AS189" i="1"/>
  <c r="AT188" i="1"/>
  <c r="AS188" i="1"/>
  <c r="AT187" i="1"/>
  <c r="AS187" i="1"/>
  <c r="AT186" i="1"/>
  <c r="AS186" i="1"/>
  <c r="AT185" i="1"/>
  <c r="AS185" i="1"/>
  <c r="AT184" i="1"/>
  <c r="AS184" i="1"/>
  <c r="AT183" i="1"/>
  <c r="AS183" i="1"/>
  <c r="AT182" i="1"/>
  <c r="AS182" i="1"/>
  <c r="AT181" i="1"/>
  <c r="AS181" i="1"/>
  <c r="AT180" i="1"/>
  <c r="AS180" i="1"/>
  <c r="AT179" i="1"/>
  <c r="AS179" i="1"/>
  <c r="AT178" i="1"/>
  <c r="AS178" i="1"/>
  <c r="AR178" i="1"/>
  <c r="AT177" i="1"/>
  <c r="AS177" i="1"/>
  <c r="AT176" i="1"/>
  <c r="AS176" i="1"/>
  <c r="AR176" i="1"/>
  <c r="AT175" i="1"/>
  <c r="AS175" i="1"/>
  <c r="AT174" i="1"/>
  <c r="AS174" i="1"/>
  <c r="AT173" i="1"/>
  <c r="AS173" i="1"/>
  <c r="AT172" i="1"/>
  <c r="AS172" i="1"/>
  <c r="AR172" i="1"/>
  <c r="AT171" i="1"/>
  <c r="AS171" i="1"/>
  <c r="AT170" i="1"/>
  <c r="AS170" i="1"/>
  <c r="AR170" i="1"/>
  <c r="AT169" i="1"/>
  <c r="AS169" i="1"/>
  <c r="AT168" i="1"/>
  <c r="AS168" i="1"/>
  <c r="AT167" i="1"/>
  <c r="AS167" i="1"/>
  <c r="AT166" i="1"/>
  <c r="AS166" i="1"/>
  <c r="AT165" i="1"/>
  <c r="AS165" i="1"/>
  <c r="AT164" i="1"/>
  <c r="AS164" i="1"/>
  <c r="AT163" i="1"/>
  <c r="AS163" i="1"/>
  <c r="AT162" i="1"/>
  <c r="AS162" i="1"/>
  <c r="AR162" i="1"/>
  <c r="AT161" i="1"/>
  <c r="AS161" i="1"/>
  <c r="AT160" i="1"/>
  <c r="AS160" i="1"/>
  <c r="AT159" i="1"/>
  <c r="AS159" i="1"/>
  <c r="AR159" i="1"/>
  <c r="AT158" i="1"/>
  <c r="AS158" i="1"/>
  <c r="AT157" i="1"/>
  <c r="AS157" i="1"/>
  <c r="AT156" i="1"/>
  <c r="AS156" i="1"/>
  <c r="AT155" i="1"/>
  <c r="AS155" i="1"/>
  <c r="AT154" i="1"/>
  <c r="AS154" i="1"/>
  <c r="AT153" i="1"/>
  <c r="AS153" i="1"/>
  <c r="AT152" i="1"/>
  <c r="AS152" i="1"/>
  <c r="AT151" i="1"/>
  <c r="AS151" i="1"/>
  <c r="AT150" i="1"/>
  <c r="AS150" i="1"/>
  <c r="AT149" i="1"/>
  <c r="AS149" i="1"/>
  <c r="AT148" i="1"/>
  <c r="AS148" i="1"/>
  <c r="AR148" i="1"/>
  <c r="AT147" i="1"/>
  <c r="AS147" i="1"/>
  <c r="AR147" i="1"/>
  <c r="AT146" i="1"/>
  <c r="AS146" i="1"/>
  <c r="AR146" i="1"/>
  <c r="AT145" i="1"/>
  <c r="AS145" i="1"/>
  <c r="AR145" i="1"/>
  <c r="AT144" i="1"/>
  <c r="AS144" i="1"/>
  <c r="AR144" i="1"/>
  <c r="AT143" i="1"/>
  <c r="AS143" i="1"/>
  <c r="AR143" i="1"/>
  <c r="AT142" i="1"/>
  <c r="AS142" i="1"/>
  <c r="AR142" i="1"/>
  <c r="AT141" i="1"/>
  <c r="AS141" i="1"/>
  <c r="AT140" i="1"/>
  <c r="AS140" i="1"/>
  <c r="AT139" i="1"/>
  <c r="AS139" i="1"/>
  <c r="AT138" i="1"/>
  <c r="AS138" i="1"/>
  <c r="AT137" i="1"/>
  <c r="AS137" i="1"/>
  <c r="AR137" i="1"/>
  <c r="AT136" i="1"/>
  <c r="AS136" i="1"/>
  <c r="AT135" i="1"/>
  <c r="AS135" i="1"/>
  <c r="AT134" i="1"/>
  <c r="AS134" i="1"/>
  <c r="AT133" i="1"/>
  <c r="AS133" i="1"/>
  <c r="AR133" i="1"/>
  <c r="AT132" i="1"/>
  <c r="AS132" i="1"/>
  <c r="AT131" i="1"/>
  <c r="AS131" i="1"/>
  <c r="AT130" i="1"/>
  <c r="AS130" i="1"/>
  <c r="AT129" i="1"/>
  <c r="AS129" i="1"/>
  <c r="AR129" i="1"/>
  <c r="AT128" i="1"/>
  <c r="AS128" i="1"/>
  <c r="AT127" i="1"/>
  <c r="AS127" i="1"/>
  <c r="AT126" i="1"/>
  <c r="AS126" i="1"/>
  <c r="AT125" i="1"/>
  <c r="AS125" i="1"/>
  <c r="AT124" i="1"/>
  <c r="AS124" i="1"/>
  <c r="AT123" i="1"/>
  <c r="AS123" i="1"/>
  <c r="AT122" i="1"/>
  <c r="AS122" i="1"/>
  <c r="AT121" i="1"/>
  <c r="AS121" i="1"/>
  <c r="AR121" i="1"/>
  <c r="AT120" i="1"/>
  <c r="AS120" i="1"/>
  <c r="AT119" i="1"/>
  <c r="AS119" i="1"/>
  <c r="AR119" i="1"/>
  <c r="AT118" i="1"/>
  <c r="AS118" i="1"/>
  <c r="AT117" i="1"/>
  <c r="AS117" i="1"/>
  <c r="AT116" i="1"/>
  <c r="AS116" i="1"/>
  <c r="AT115" i="1"/>
  <c r="AS115" i="1"/>
  <c r="AT114" i="1"/>
  <c r="AS114" i="1"/>
  <c r="AR114" i="1"/>
  <c r="AT113" i="1"/>
  <c r="AS113" i="1"/>
  <c r="AR113" i="1"/>
  <c r="AT112" i="1"/>
  <c r="AS112" i="1"/>
  <c r="AT111" i="1"/>
  <c r="AS111" i="1"/>
  <c r="AR111" i="1"/>
  <c r="AT110" i="1"/>
  <c r="AS110" i="1"/>
  <c r="AR110" i="1"/>
  <c r="AT109" i="1"/>
  <c r="AS109" i="1"/>
  <c r="AR109" i="1"/>
  <c r="AT108" i="1"/>
  <c r="AS108" i="1"/>
  <c r="AT107" i="1"/>
  <c r="AS107" i="1"/>
  <c r="AR107" i="1"/>
  <c r="AT106" i="1"/>
  <c r="AS106" i="1"/>
  <c r="AR106" i="1"/>
  <c r="AT105" i="1"/>
  <c r="AS105" i="1"/>
  <c r="AR105" i="1"/>
  <c r="AT104" i="1"/>
  <c r="AS104" i="1"/>
  <c r="AT103" i="1"/>
  <c r="AS103" i="1"/>
  <c r="AT102" i="1"/>
  <c r="AS102" i="1"/>
  <c r="AT101" i="1"/>
  <c r="AS101" i="1"/>
  <c r="AT100" i="1"/>
  <c r="AS100" i="1"/>
  <c r="AR100" i="1"/>
  <c r="AT99" i="1"/>
  <c r="AS99" i="1"/>
  <c r="AR99" i="1"/>
  <c r="AT98" i="1"/>
  <c r="AS98" i="1"/>
  <c r="AT97" i="1"/>
  <c r="AS97" i="1"/>
  <c r="AR97" i="1"/>
  <c r="AT96" i="1"/>
  <c r="AS96" i="1"/>
  <c r="AT95" i="1"/>
  <c r="AS95" i="1"/>
  <c r="AT94" i="1"/>
  <c r="AS94" i="1"/>
  <c r="AT93" i="1"/>
  <c r="AS93" i="1"/>
  <c r="AT92" i="1"/>
  <c r="AS92" i="1"/>
  <c r="AT91" i="1"/>
  <c r="AS91" i="1"/>
  <c r="AT90" i="1"/>
  <c r="AS90" i="1"/>
  <c r="AT89" i="1"/>
  <c r="AS89" i="1"/>
  <c r="AT88" i="1"/>
  <c r="AS88" i="1"/>
  <c r="AT87" i="1"/>
  <c r="AS87" i="1"/>
  <c r="AT86" i="1"/>
  <c r="AS86" i="1"/>
  <c r="AR86" i="1"/>
  <c r="AT85" i="1"/>
  <c r="AS85" i="1"/>
  <c r="AT84" i="1"/>
  <c r="AS84" i="1"/>
  <c r="AT83" i="1"/>
  <c r="AS83" i="1"/>
  <c r="AT82" i="1"/>
  <c r="AS82" i="1"/>
  <c r="AT81" i="1"/>
  <c r="AS81" i="1"/>
  <c r="AT80" i="1"/>
  <c r="AS80" i="1"/>
  <c r="AT79" i="1"/>
  <c r="AS79" i="1"/>
  <c r="AT78" i="1"/>
  <c r="AS78" i="1"/>
  <c r="AT77" i="1"/>
  <c r="AS77" i="1"/>
  <c r="AT76" i="1"/>
  <c r="AS76" i="1"/>
  <c r="AT75" i="1"/>
  <c r="AS75" i="1"/>
  <c r="AT74" i="1"/>
  <c r="AS74" i="1"/>
  <c r="AT73" i="1"/>
  <c r="AS73" i="1"/>
  <c r="AT72" i="1"/>
  <c r="AS72" i="1"/>
  <c r="AT71" i="1"/>
  <c r="AS71" i="1"/>
  <c r="AT70" i="1"/>
  <c r="AS70" i="1"/>
  <c r="AT69" i="1"/>
  <c r="AS69" i="1"/>
  <c r="AT68" i="1"/>
  <c r="AS68" i="1"/>
  <c r="AT67" i="1"/>
  <c r="AS67" i="1"/>
  <c r="AR67" i="1"/>
  <c r="AT66" i="1"/>
  <c r="AS66" i="1"/>
  <c r="AT65" i="1"/>
  <c r="AS65" i="1"/>
  <c r="AR65" i="1"/>
  <c r="AT64" i="1"/>
  <c r="AS64" i="1"/>
  <c r="AT63" i="1"/>
  <c r="AS63" i="1"/>
  <c r="AT62" i="1"/>
  <c r="AS62" i="1"/>
  <c r="AT61" i="1"/>
  <c r="AS61" i="1"/>
  <c r="AT60" i="1"/>
  <c r="AS60" i="1"/>
  <c r="AT59" i="1"/>
  <c r="AS59" i="1"/>
  <c r="AT58" i="1"/>
  <c r="AS58" i="1"/>
  <c r="AT57" i="1"/>
  <c r="AS57" i="1"/>
  <c r="AT56" i="1"/>
  <c r="AS56" i="1"/>
  <c r="AT55" i="1"/>
  <c r="AS55" i="1"/>
  <c r="AR55" i="1"/>
  <c r="AT54" i="1"/>
  <c r="AS54" i="1"/>
  <c r="AT53" i="1"/>
  <c r="AS53" i="1"/>
  <c r="AT52" i="1"/>
  <c r="AS52" i="1"/>
  <c r="AT51" i="1"/>
  <c r="AS51" i="1"/>
  <c r="AT50" i="1"/>
  <c r="AS50" i="1"/>
  <c r="AT49" i="1"/>
  <c r="AS49" i="1"/>
  <c r="AT48" i="1"/>
  <c r="AS48" i="1"/>
  <c r="AT47" i="1"/>
  <c r="AS47" i="1"/>
  <c r="AT46" i="1"/>
  <c r="AS46" i="1"/>
  <c r="AR46" i="1"/>
  <c r="AT45" i="1"/>
  <c r="AS45" i="1"/>
  <c r="AT44" i="1"/>
  <c r="AS44" i="1"/>
  <c r="AT43" i="1"/>
  <c r="AS43" i="1"/>
  <c r="AT42" i="1"/>
  <c r="AS42" i="1"/>
  <c r="AT41" i="1"/>
  <c r="AS41" i="1"/>
  <c r="AT40" i="1"/>
  <c r="AS40" i="1"/>
  <c r="AR40" i="1"/>
  <c r="AT39" i="1"/>
  <c r="AS39" i="1"/>
  <c r="AT38" i="1"/>
  <c r="AS38" i="1"/>
  <c r="AT37" i="1"/>
  <c r="AS37" i="1"/>
  <c r="AT36" i="1"/>
  <c r="AS36" i="1"/>
  <c r="AT35" i="1"/>
  <c r="AS35" i="1"/>
  <c r="AT34" i="1"/>
  <c r="AS34" i="1"/>
  <c r="AT33" i="1"/>
  <c r="AS33" i="1"/>
  <c r="AT32" i="1"/>
  <c r="AS32" i="1"/>
  <c r="AT31" i="1"/>
  <c r="AS31" i="1"/>
  <c r="AT30" i="1"/>
  <c r="AS30" i="1"/>
  <c r="AT29" i="1"/>
  <c r="AS29" i="1"/>
  <c r="AT28" i="1"/>
  <c r="AS28" i="1"/>
  <c r="AT27" i="1"/>
  <c r="AS27" i="1"/>
  <c r="AT26" i="1"/>
  <c r="AS26" i="1"/>
  <c r="AR26" i="1"/>
  <c r="AT25" i="1"/>
  <c r="AS25" i="1"/>
  <c r="AT24" i="1"/>
  <c r="AS24" i="1"/>
  <c r="AR24" i="1"/>
  <c r="AT23" i="1"/>
  <c r="AS23" i="1"/>
  <c r="AT22" i="1"/>
  <c r="AS22" i="1"/>
  <c r="AT21" i="1"/>
  <c r="AS21" i="1"/>
  <c r="AT20" i="1"/>
  <c r="AS20" i="1"/>
  <c r="AT19" i="1"/>
  <c r="AS19" i="1"/>
  <c r="AT18" i="1"/>
  <c r="AS18" i="1"/>
  <c r="AT17" i="1"/>
  <c r="AS17" i="1"/>
  <c r="AT16" i="1"/>
  <c r="AS16" i="1"/>
  <c r="AT15" i="1"/>
  <c r="AS15" i="1"/>
  <c r="AT14" i="1"/>
  <c r="AS14" i="1"/>
  <c r="AR14" i="1"/>
  <c r="AT13" i="1"/>
  <c r="AS13" i="1"/>
  <c r="AR13" i="1"/>
  <c r="AT12" i="1"/>
  <c r="AS12" i="1"/>
  <c r="AT11" i="1"/>
  <c r="AS11" i="1"/>
  <c r="AT10" i="1"/>
  <c r="AS10" i="1"/>
  <c r="AR10" i="1"/>
  <c r="AT9" i="1"/>
  <c r="AS9" i="1"/>
  <c r="AT8" i="1"/>
  <c r="AS8" i="1"/>
  <c r="AT7" i="1"/>
  <c r="AS7" i="1"/>
  <c r="AT6" i="1"/>
  <c r="AS6" i="1"/>
  <c r="AR6" i="1"/>
  <c r="AT5" i="1"/>
  <c r="AS5" i="1"/>
  <c r="AT4" i="1"/>
  <c r="AS4" i="1"/>
  <c r="AT3" i="1"/>
  <c r="AS3" i="1"/>
  <c r="AT2" i="1"/>
  <c r="AS2" i="1"/>
</calcChain>
</file>

<file path=xl/sharedStrings.xml><?xml version="1.0" encoding="utf-8"?>
<sst xmlns="http://schemas.openxmlformats.org/spreadsheetml/2006/main" count="35674" uniqueCount="14930">
  <si>
    <t>Display Call Number</t>
  </si>
  <si>
    <t>Display Call Number Normalized</t>
  </si>
  <si>
    <t>Title</t>
  </si>
  <si>
    <t>Enumeration</t>
  </si>
  <si>
    <t>Possible Multi-Volume Set</t>
  </si>
  <si>
    <t>Copy Number</t>
  </si>
  <si>
    <t>Possible Duplicate</t>
  </si>
  <si>
    <t>Multi-Edition Title</t>
  </si>
  <si>
    <t>Number of Related Ebooks</t>
  </si>
  <si>
    <t>Author</t>
  </si>
  <si>
    <t>Publisher</t>
  </si>
  <si>
    <t>Publication Year</t>
  </si>
  <si>
    <t>Edition</t>
  </si>
  <si>
    <t>Primary Language</t>
  </si>
  <si>
    <t>Place of Publication</t>
  </si>
  <si>
    <t>Series</t>
  </si>
  <si>
    <t>LC Subclass</t>
  </si>
  <si>
    <t>Recorded Uses - Item</t>
  </si>
  <si>
    <t>Recorded Uses - Title</t>
  </si>
  <si>
    <t>Last Charge Date - Item</t>
  </si>
  <si>
    <t>Last Charge Date - Title</t>
  </si>
  <si>
    <t>Last Add Date - Item</t>
  </si>
  <si>
    <t>Last Add Date - Title</t>
  </si>
  <si>
    <t>Global Holdings - Same Edition</t>
  </si>
  <si>
    <t>US Holdings - Same Edition</t>
  </si>
  <si>
    <t>US Holdings</t>
  </si>
  <si>
    <t>Nebraska Holdings - Same Edition</t>
  </si>
  <si>
    <t>Nebraska Holdings</t>
  </si>
  <si>
    <t>All Comparator Library Holdings - Same Edition</t>
  </si>
  <si>
    <t>All Comparator Library Holdings</t>
  </si>
  <si>
    <t>Affinity Libraries - Same Edition</t>
  </si>
  <si>
    <t>Affinity Libraries - Any Edition</t>
  </si>
  <si>
    <t>Big East - Same Edition</t>
  </si>
  <si>
    <t>Big East - Any Edition</t>
  </si>
  <si>
    <t>AJCU - Same Edition</t>
  </si>
  <si>
    <t>AJCU - Any Edition</t>
  </si>
  <si>
    <t>Nebraska Colleges &amp; Universities - Same Edition</t>
  </si>
  <si>
    <t>Nebraska Colleges &amp; Universities - Any Edition</t>
  </si>
  <si>
    <t>MALLCO - Same Edition</t>
  </si>
  <si>
    <t>MALLCO - Any Edition</t>
  </si>
  <si>
    <t>HathiTrust Public Domain</t>
  </si>
  <si>
    <t>HathiTrust In Copyright</t>
  </si>
  <si>
    <t>HathiTrust URL</t>
  </si>
  <si>
    <t>OPAC URL</t>
  </si>
  <si>
    <t>WorldCat URL</t>
  </si>
  <si>
    <t>OCLC Work ID</t>
  </si>
  <si>
    <t>WorldCat OCLC Number</t>
  </si>
  <si>
    <t>Bib Record Number</t>
  </si>
  <si>
    <t>Bib Control Number</t>
  </si>
  <si>
    <t>Item Control Number</t>
  </si>
  <si>
    <t>Item Type Code</t>
  </si>
  <si>
    <t>Item Status Code</t>
  </si>
  <si>
    <t>ISBN</t>
  </si>
  <si>
    <t>Barcode</t>
  </si>
  <si>
    <t>SCS Item ID</t>
  </si>
  <si>
    <t>BV10 .U5 1937</t>
  </si>
  <si>
    <t>0                      BV 0010000U  5           1937</t>
  </si>
  <si>
    <t>Worship / by Evelyn Underhill.</t>
  </si>
  <si>
    <t>No</t>
  </si>
  <si>
    <t>1</t>
  </si>
  <si>
    <t>0</t>
  </si>
  <si>
    <t>Underhill, Evelyn, 1875-1941.</t>
  </si>
  <si>
    <t>London : Nisbet, 1937, 1948 printing.</t>
  </si>
  <si>
    <t>1937</t>
  </si>
  <si>
    <t>3d ed.</t>
  </si>
  <si>
    <t>eng</t>
  </si>
  <si>
    <t>enk</t>
  </si>
  <si>
    <t>The Library of constructive theology</t>
  </si>
  <si>
    <t xml:space="preserve">BV </t>
  </si>
  <si>
    <t>1995-01-13</t>
  </si>
  <si>
    <t>1991-07-11</t>
  </si>
  <si>
    <t>491126:eng</t>
  </si>
  <si>
    <t>6463645</t>
  </si>
  <si>
    <t>991004987259702656</t>
  </si>
  <si>
    <t>2258633460002656</t>
  </si>
  <si>
    <t>BOOK</t>
  </si>
  <si>
    <t>32285000637354</t>
  </si>
  <si>
    <t>893801565</t>
  </si>
  <si>
    <t>BV10.2 .C8</t>
  </si>
  <si>
    <t>0                      BV 0010200C  8</t>
  </si>
  <si>
    <t>Christian worship and church education / by Iris V. Cully.</t>
  </si>
  <si>
    <t>Cully, Iris V.</t>
  </si>
  <si>
    <t>Philadelphia, Westminster Press [1967]</t>
  </si>
  <si>
    <t>1967</t>
  </si>
  <si>
    <t>pau</t>
  </si>
  <si>
    <t>2001-04-01</t>
  </si>
  <si>
    <t>1991-11-07</t>
  </si>
  <si>
    <t>2048832:eng</t>
  </si>
  <si>
    <t>1084059</t>
  </si>
  <si>
    <t>991003522009702656</t>
  </si>
  <si>
    <t>2269007190002656</t>
  </si>
  <si>
    <t>32285000809797</t>
  </si>
  <si>
    <t>893810029</t>
  </si>
  <si>
    <t>BV10.2 .M3</t>
  </si>
  <si>
    <t>0                      BV 0010200M  3</t>
  </si>
  <si>
    <t>Liturgy and Christian unity / [by] Romey P. Marshall [and] Michael J. Taylor.</t>
  </si>
  <si>
    <t>Marshall, Romey P.</t>
  </si>
  <si>
    <t>Englewood Cliffs, N. J., Prentice-Hall [1965]</t>
  </si>
  <si>
    <t>1965</t>
  </si>
  <si>
    <t xml:space="preserve">nj </t>
  </si>
  <si>
    <t>1999-02-02</t>
  </si>
  <si>
    <t>2598960:eng</t>
  </si>
  <si>
    <t>1904960</t>
  </si>
  <si>
    <t>991003933129702656</t>
  </si>
  <si>
    <t>2257734350002656</t>
  </si>
  <si>
    <t>32285000809821</t>
  </si>
  <si>
    <t>893349403</t>
  </si>
  <si>
    <t>BV10.2 .S73 1992</t>
  </si>
  <si>
    <t>0                      BV 0010200S  73          1992</t>
  </si>
  <si>
    <t>Worship : wonderful and sacred mystery / Kenneth W. Stevenson.</t>
  </si>
  <si>
    <t>Stevenson, Kenneth (Kenneth W.)</t>
  </si>
  <si>
    <t>Washington, D. C. : Pastoral Press, 1992.</t>
  </si>
  <si>
    <t>1992</t>
  </si>
  <si>
    <t>dcu</t>
  </si>
  <si>
    <t>1998-03-18</t>
  </si>
  <si>
    <t>1994-04-21</t>
  </si>
  <si>
    <t>2261223125:eng</t>
  </si>
  <si>
    <t>31969848</t>
  </si>
  <si>
    <t>991002070299702656</t>
  </si>
  <si>
    <t>2265496660002656</t>
  </si>
  <si>
    <t>9780912405902</t>
  </si>
  <si>
    <t>32285001875722</t>
  </si>
  <si>
    <t>893626938</t>
  </si>
  <si>
    <t>BV111 .B33</t>
  </si>
  <si>
    <t>0                      BV 0111000B  33</t>
  </si>
  <si>
    <t>From Sabbath to Sunday : a historical investigation of the rise of Sunday observance in early Christianity / Samuele Bacchiocchi.</t>
  </si>
  <si>
    <t>Bacchiocchi, Samuele.</t>
  </si>
  <si>
    <t>Rome : Pontifical Gregorian university, 1977.</t>
  </si>
  <si>
    <t>1977</t>
  </si>
  <si>
    <t xml:space="preserve">it </t>
  </si>
  <si>
    <t>2005-05-31</t>
  </si>
  <si>
    <t>1991-11-11</t>
  </si>
  <si>
    <t>Yes</t>
  </si>
  <si>
    <t>9221826:eng</t>
  </si>
  <si>
    <t>3303118</t>
  </si>
  <si>
    <t>991004401589702656</t>
  </si>
  <si>
    <t>2262834590002656</t>
  </si>
  <si>
    <t>32285000835339</t>
  </si>
  <si>
    <t>893687688</t>
  </si>
  <si>
    <t>BV111 .B37</t>
  </si>
  <si>
    <t>0                      BV 0111000B  37</t>
  </si>
  <si>
    <t>This is the day : the Biblical doctrine of the Christian Sunday in its Jewish and early church setting / Roger T. Beckwith and Wilfrid Stott.</t>
  </si>
  <si>
    <t>Beckwith, Roger T.</t>
  </si>
  <si>
    <t>London : Marshall, Morgan and Scott, 1978.</t>
  </si>
  <si>
    <t>1978</t>
  </si>
  <si>
    <t>2008-10-09</t>
  </si>
  <si>
    <t>510367:eng</t>
  </si>
  <si>
    <t>4333251</t>
  </si>
  <si>
    <t>991004625069702656</t>
  </si>
  <si>
    <t>2268367720002656</t>
  </si>
  <si>
    <t>9780551055681</t>
  </si>
  <si>
    <t>32285000835347</t>
  </si>
  <si>
    <t>893801154</t>
  </si>
  <si>
    <t>BV111 .F76 1982</t>
  </si>
  <si>
    <t>0                      BV 0111000F  76          1982</t>
  </si>
  <si>
    <t>From Sabbath to Lord's Day : a Biblical, historical, and theological investigation / edited by D.A. Carson.</t>
  </si>
  <si>
    <t>Grand Rapids, Mich. : Zondervan, c1982.</t>
  </si>
  <si>
    <t>1982</t>
  </si>
  <si>
    <t>miu</t>
  </si>
  <si>
    <t>2005-11-07</t>
  </si>
  <si>
    <t>54472502:eng</t>
  </si>
  <si>
    <t>7947567</t>
  </si>
  <si>
    <t>991005183019702656</t>
  </si>
  <si>
    <t>2270202620002656</t>
  </si>
  <si>
    <t>9780310445319</t>
  </si>
  <si>
    <t>32285000835370</t>
  </si>
  <si>
    <t>893344790</t>
  </si>
  <si>
    <t>BV111 .J48</t>
  </si>
  <si>
    <t>0                      BV 0111000J  48</t>
  </si>
  <si>
    <t>The Lord's day : a theological guide to the Christian day of worship / [by] Paul K. Jewett.</t>
  </si>
  <si>
    <t>Jewett, Paul King.</t>
  </si>
  <si>
    <t>Grand Rapids, Mich., W. B. Eerdmans Pub. Co. [1971]</t>
  </si>
  <si>
    <t>1971</t>
  </si>
  <si>
    <t>1997-03-24</t>
  </si>
  <si>
    <t>1327674:eng</t>
  </si>
  <si>
    <t>222183</t>
  </si>
  <si>
    <t>991001364109702656</t>
  </si>
  <si>
    <t>2262173210002656</t>
  </si>
  <si>
    <t>32285000835388</t>
  </si>
  <si>
    <t>893346437</t>
  </si>
  <si>
    <t>BV111 .M35 2000</t>
  </si>
  <si>
    <t>0                      BV 0111000M  35          2000</t>
  </si>
  <si>
    <t>Holy day, holiday : the American Sunday / Alexis McCrossen.</t>
  </si>
  <si>
    <t>McCrossen, Alexis.</t>
  </si>
  <si>
    <t>Ithaca : Cornell University Press, 2000.</t>
  </si>
  <si>
    <t>2000</t>
  </si>
  <si>
    <t>nyu</t>
  </si>
  <si>
    <t>2001-08-21</t>
  </si>
  <si>
    <t>2001-08-20</t>
  </si>
  <si>
    <t>38336032:eng</t>
  </si>
  <si>
    <t>42690243</t>
  </si>
  <si>
    <t>991003575799702656</t>
  </si>
  <si>
    <t>2259109430002656</t>
  </si>
  <si>
    <t>9780801434174</t>
  </si>
  <si>
    <t>32285004378294</t>
  </si>
  <si>
    <t>893717817</t>
  </si>
  <si>
    <t>BV111 .N67 1981</t>
  </si>
  <si>
    <t>0                      BV 0111000N  67          1981</t>
  </si>
  <si>
    <t>Sunday morning : a time for worship / edited by Mark Searle.</t>
  </si>
  <si>
    <t>Notre Dame Center for Pastoral Liturgy. Conference (10th : 1981 : University of Notre Dame)</t>
  </si>
  <si>
    <t>Collegeville, Minn. : Liturgical Press, 1982.</t>
  </si>
  <si>
    <t>mnu</t>
  </si>
  <si>
    <t>2005-12-17</t>
  </si>
  <si>
    <t>5575213838:eng</t>
  </si>
  <si>
    <t>8284037</t>
  </si>
  <si>
    <t>991005227679702656</t>
  </si>
  <si>
    <t>2267874140002656</t>
  </si>
  <si>
    <t>9780814612590</t>
  </si>
  <si>
    <t>32285000835396</t>
  </si>
  <si>
    <t>893248577</t>
  </si>
  <si>
    <t>BV111 .P65 1987</t>
  </si>
  <si>
    <t>0                      BV 0111000P  65          1987</t>
  </si>
  <si>
    <t>The day of light : the biblical &amp; liturgical meaning of Sunday / H.B. Porter.</t>
  </si>
  <si>
    <t>Porter, Harry Boone, 1923-</t>
  </si>
  <si>
    <t>Washington, DC : The Pastoral Press, 1987.</t>
  </si>
  <si>
    <t>1987</t>
  </si>
  <si>
    <t>1992-02-04</t>
  </si>
  <si>
    <t>377198420:eng</t>
  </si>
  <si>
    <t>17830385</t>
  </si>
  <si>
    <t>991001268049702656</t>
  </si>
  <si>
    <t>2257209630002656</t>
  </si>
  <si>
    <t>9780912405407</t>
  </si>
  <si>
    <t>32285000868173</t>
  </si>
  <si>
    <t>893522447</t>
  </si>
  <si>
    <t>BV111 .P75 1989</t>
  </si>
  <si>
    <t>0                      BV 0111000P  75          1989</t>
  </si>
  <si>
    <t>Holy time : moderate Puritanism and the Sabbath / John H. Primus.</t>
  </si>
  <si>
    <t>Primus, John H.</t>
  </si>
  <si>
    <t>Macon, Ga. : Mercer University Press, c1989.</t>
  </si>
  <si>
    <t>1989</t>
  </si>
  <si>
    <t>gau</t>
  </si>
  <si>
    <t>1995-07-02</t>
  </si>
  <si>
    <t>1991-10-10</t>
  </si>
  <si>
    <t>324674704:eng</t>
  </si>
  <si>
    <t>19920625</t>
  </si>
  <si>
    <t>991001513519702656</t>
  </si>
  <si>
    <t>2269064570002656</t>
  </si>
  <si>
    <t>9780865543508</t>
  </si>
  <si>
    <t>32285000725878</t>
  </si>
  <si>
    <t>893684374</t>
  </si>
  <si>
    <t>BV111 .S64</t>
  </si>
  <si>
    <t>0                      BV 0111000S  64</t>
  </si>
  <si>
    <t>Redeem the time : the Puritan Sabbath in early America / Winton U. Solberg.</t>
  </si>
  <si>
    <t>Solberg, Winton U., 1922-</t>
  </si>
  <si>
    <t>Cambridge : Harvard University Press, 1977.</t>
  </si>
  <si>
    <t>mau</t>
  </si>
  <si>
    <t>A Publication of the Center for the Study of the History of Liberty in America, Harvard University</t>
  </si>
  <si>
    <t>1992-12-17</t>
  </si>
  <si>
    <t>4749344:eng</t>
  </si>
  <si>
    <t>2372825</t>
  </si>
  <si>
    <t>991004101749702656</t>
  </si>
  <si>
    <t>2255306530002656</t>
  </si>
  <si>
    <t>9780674751309</t>
  </si>
  <si>
    <t>32285000835412</t>
  </si>
  <si>
    <t>893519240</t>
  </si>
  <si>
    <t>BV1463 .F68</t>
  </si>
  <si>
    <t>0                      BV 1463000F  68</t>
  </si>
  <si>
    <t>Foundations of religious education / edited by Padraic O'Hare. --</t>
  </si>
  <si>
    <t>New York : Paulist Press, c1978.</t>
  </si>
  <si>
    <t>2002-07-17</t>
  </si>
  <si>
    <t>1992-01-27</t>
  </si>
  <si>
    <t>13618247:eng</t>
  </si>
  <si>
    <t>4004110</t>
  </si>
  <si>
    <t>991004564059702656</t>
  </si>
  <si>
    <t>2265202600002656</t>
  </si>
  <si>
    <t>9780809121083</t>
  </si>
  <si>
    <t>32285000925858</t>
  </si>
  <si>
    <t>893869861</t>
  </si>
  <si>
    <t>BV1464 .A76 1994</t>
  </si>
  <si>
    <t>0                      BV 1464000A  76          1994</t>
  </si>
  <si>
    <t>The philosophy of Christian religious education / Jeff Astley.</t>
  </si>
  <si>
    <t>Astley, Jeff.</t>
  </si>
  <si>
    <t>Birmingham, Ala. : Religious Education Press, 1994.</t>
  </si>
  <si>
    <t>1994</t>
  </si>
  <si>
    <t>alu</t>
  </si>
  <si>
    <t>1998-12-07</t>
  </si>
  <si>
    <t>1994-04-06</t>
  </si>
  <si>
    <t>20993138:eng</t>
  </si>
  <si>
    <t>29428552</t>
  </si>
  <si>
    <t>991002267959702656</t>
  </si>
  <si>
    <t>2269817680002656</t>
  </si>
  <si>
    <t>9780891350934</t>
  </si>
  <si>
    <t>32285001863645</t>
  </si>
  <si>
    <t>893517086</t>
  </si>
  <si>
    <t>BV1464 .B374</t>
  </si>
  <si>
    <t>0                      BV 1464000B  374</t>
  </si>
  <si>
    <t>Religious education, catechesis, and freedom / Kenneth R. Barker.</t>
  </si>
  <si>
    <t>Barker, Kenneth R. (Kenneth Robert), 1948-</t>
  </si>
  <si>
    <t>Birmingham, Ala. : Religious Education Press, 1981.</t>
  </si>
  <si>
    <t>1981</t>
  </si>
  <si>
    <t>1995-08-09</t>
  </si>
  <si>
    <t>548253:eng</t>
  </si>
  <si>
    <t>7773834</t>
  </si>
  <si>
    <t>991005159729702656</t>
  </si>
  <si>
    <t>2269361560002656</t>
  </si>
  <si>
    <t>9780891350286</t>
  </si>
  <si>
    <t>32285000925866</t>
  </si>
  <si>
    <t>893326262</t>
  </si>
  <si>
    <t>BV1464 .K57</t>
  </si>
  <si>
    <t>0                      BV 1464000K  57</t>
  </si>
  <si>
    <t>Above or within? : The supernatural in religious education / Ian Knox.</t>
  </si>
  <si>
    <t>Knox, Ian P.</t>
  </si>
  <si>
    <t>Mishawaka, Ind. : Religious Education Press, c1976.</t>
  </si>
  <si>
    <t>1976</t>
  </si>
  <si>
    <t>inu</t>
  </si>
  <si>
    <t>1996-06-09</t>
  </si>
  <si>
    <t>180100556:eng</t>
  </si>
  <si>
    <t>3479043</t>
  </si>
  <si>
    <t>991004444069702656</t>
  </si>
  <si>
    <t>2257539640002656</t>
  </si>
  <si>
    <t>9780891350101</t>
  </si>
  <si>
    <t>32285000925924</t>
  </si>
  <si>
    <t>893259738</t>
  </si>
  <si>
    <t>BV1464 .O26 1998</t>
  </si>
  <si>
    <t>0                      BV 1464000O  26          1998</t>
  </si>
  <si>
    <t>Making disciples : a handbook of Christian moral formation / Timothy E. O'Connell.</t>
  </si>
  <si>
    <t>O'Connell, Timothy E.</t>
  </si>
  <si>
    <t>New York : Crossroad Pub., c1998.</t>
  </si>
  <si>
    <t>1998</t>
  </si>
  <si>
    <t>2005-03-03</t>
  </si>
  <si>
    <t>1998-08-06</t>
  </si>
  <si>
    <t>1364091041:eng</t>
  </si>
  <si>
    <t>37608238</t>
  </si>
  <si>
    <t>991002854299702656</t>
  </si>
  <si>
    <t>2264309950002656</t>
  </si>
  <si>
    <t>9780824517274</t>
  </si>
  <si>
    <t>32285003449815</t>
  </si>
  <si>
    <t>893341943</t>
  </si>
  <si>
    <t>BV1464 .S33 1987</t>
  </si>
  <si>
    <t>0                      BV 1464000S  33          1987</t>
  </si>
  <si>
    <t>Using media in religious education / Ronald A. Sarno.</t>
  </si>
  <si>
    <t>Sarno, Ronald A.</t>
  </si>
  <si>
    <t>Birmingham, Ala. : Religious Education Press, c1987.</t>
  </si>
  <si>
    <t>1992-01-29</t>
  </si>
  <si>
    <t>9003784:eng</t>
  </si>
  <si>
    <t>15081847</t>
  </si>
  <si>
    <t>991000985829702656</t>
  </si>
  <si>
    <t>2259037470002656</t>
  </si>
  <si>
    <t>9780891350583</t>
  </si>
  <si>
    <t>32285000925999</t>
  </si>
  <si>
    <t>893255914</t>
  </si>
  <si>
    <t>BV1464 .S48 1982</t>
  </si>
  <si>
    <t>0                      BV 1464000S  48          1982</t>
  </si>
  <si>
    <t>Contemporary approaches to Christian education / Jack L. Seymour and Donald E. Miller, with Sara P. Little ... [et al.].</t>
  </si>
  <si>
    <t>Seymour, Jack L. (Jack Lee), 1948-</t>
  </si>
  <si>
    <t>Nashville : Abingdon, c1982, 1987 printing.</t>
  </si>
  <si>
    <t>tnu</t>
  </si>
  <si>
    <t>2003-03-02</t>
  </si>
  <si>
    <t>1990-03-28</t>
  </si>
  <si>
    <t>434296:eng</t>
  </si>
  <si>
    <t>7813463</t>
  </si>
  <si>
    <t>991005164259702656</t>
  </si>
  <si>
    <t>2255812170002656</t>
  </si>
  <si>
    <t>9780687094936</t>
  </si>
  <si>
    <t>32285000105170</t>
  </si>
  <si>
    <t>893446618</t>
  </si>
  <si>
    <t>BV1464 .S63 1983</t>
  </si>
  <si>
    <t>0                      BV 1464000S  63          1983</t>
  </si>
  <si>
    <t>The salvation and nurture of the child of God : the story of Emma / G. Temp Sparkman.</t>
  </si>
  <si>
    <t>Sparkman, G. Temp.</t>
  </si>
  <si>
    <t>Valley Forge, PA : Judson Press, c1983.</t>
  </si>
  <si>
    <t>1983</t>
  </si>
  <si>
    <t>1996-11-08</t>
  </si>
  <si>
    <t>43301393:eng</t>
  </si>
  <si>
    <t>9016858</t>
  </si>
  <si>
    <t>991000112269702656</t>
  </si>
  <si>
    <t>2257467340002656</t>
  </si>
  <si>
    <t>9780817009854</t>
  </si>
  <si>
    <t>32285000926005</t>
  </si>
  <si>
    <t>893626200</t>
  </si>
  <si>
    <t>BV1464 .T463 1995</t>
  </si>
  <si>
    <t>0                      BV 1464000T  463         1995</t>
  </si>
  <si>
    <t>Theologies of religious education / edited by Randolph Crump Miller.</t>
  </si>
  <si>
    <t>Birmingham, Al : Religious Education Press, 1995.</t>
  </si>
  <si>
    <t>1995</t>
  </si>
  <si>
    <t>2003-04-27</t>
  </si>
  <si>
    <t>1995-10-16</t>
  </si>
  <si>
    <t>55935127:eng</t>
  </si>
  <si>
    <t>32552013</t>
  </si>
  <si>
    <t>991002503619702656</t>
  </si>
  <si>
    <t>2267562980002656</t>
  </si>
  <si>
    <t>9780891350965</t>
  </si>
  <si>
    <t>32285002086964</t>
  </si>
  <si>
    <t>893880016</t>
  </si>
  <si>
    <t>BV1465 .U4</t>
  </si>
  <si>
    <t>0                      BV 1465000U  4</t>
  </si>
  <si>
    <t>A history of religious education : documents and interpretations from the Judaeo-Christian tradition / Robert Ulich.</t>
  </si>
  <si>
    <t>Ulich, Robert, 1890-1977.</t>
  </si>
  <si>
    <t>New York, New York University Press, 1968.</t>
  </si>
  <si>
    <t>1968</t>
  </si>
  <si>
    <t>2001-01-27</t>
  </si>
  <si>
    <t>1992-01-28</t>
  </si>
  <si>
    <t>836620087:eng</t>
  </si>
  <si>
    <t>449371</t>
  </si>
  <si>
    <t>991002805529702656</t>
  </si>
  <si>
    <t>2265238190002656</t>
  </si>
  <si>
    <t>32285000926054</t>
  </si>
  <si>
    <t>893685809</t>
  </si>
  <si>
    <t>BV1470.2 .M63 1983</t>
  </si>
  <si>
    <t>0                      BV 1470200M  63          1983</t>
  </si>
  <si>
    <t>Modern masters of religious education / edited by Marlene Mayr.</t>
  </si>
  <si>
    <t>Birmingham, Ala. : Religious Education Press, 1983.</t>
  </si>
  <si>
    <t>1995-06-13</t>
  </si>
  <si>
    <t>42892311:eng</t>
  </si>
  <si>
    <t>9154536</t>
  </si>
  <si>
    <t>991000140579702656</t>
  </si>
  <si>
    <t>2264607020002656</t>
  </si>
  <si>
    <t>9780891350330</t>
  </si>
  <si>
    <t>32285000926088</t>
  </si>
  <si>
    <t>893784005</t>
  </si>
  <si>
    <t>BV1470.G7 W4</t>
  </si>
  <si>
    <t>0                      BV 1470000G  7                  W  4</t>
  </si>
  <si>
    <t>Religious education, 1944-1984 / edited by A.G. Wedderspoon.</t>
  </si>
  <si>
    <t>Wedderspoon, Alexander editor.</t>
  </si>
  <si>
    <t>London, Allen &amp; Unwin, 1966.</t>
  </si>
  <si>
    <t>1966</t>
  </si>
  <si>
    <t>1992-04-14</t>
  </si>
  <si>
    <t>309403889:eng</t>
  </si>
  <si>
    <t>385828</t>
  </si>
  <si>
    <t>991002646029702656</t>
  </si>
  <si>
    <t>2259138170002656</t>
  </si>
  <si>
    <t>32285000099175</t>
  </si>
  <si>
    <t>893698058</t>
  </si>
  <si>
    <t>BV1471 .S52</t>
  </si>
  <si>
    <t>0                      BV 1471000S  52</t>
  </si>
  <si>
    <t>Sharing the light of faith : national catechetical directory for Catholics of the United States.</t>
  </si>
  <si>
    <t>[Washington] : United States Catholic Conference, Dept. of Education, c1979.</t>
  </si>
  <si>
    <t>1979</t>
  </si>
  <si>
    <t>1997-06-09</t>
  </si>
  <si>
    <t>3858869712:eng</t>
  </si>
  <si>
    <t>4811508</t>
  </si>
  <si>
    <t>991004725909702656</t>
  </si>
  <si>
    <t>2259890100002656</t>
  </si>
  <si>
    <t>32285000926120</t>
  </si>
  <si>
    <t>893606392</t>
  </si>
  <si>
    <t>BV1471 .S521</t>
  </si>
  <si>
    <t>0                      BV 1471000S  521</t>
  </si>
  <si>
    <t>An introduction to Sharing the light of faith : national catechetical directory for Catholics of the United States.</t>
  </si>
  <si>
    <t>Washington (D.C.) : United States Catholic Conference, Dept. of Education, c1980.</t>
  </si>
  <si>
    <t>1980</t>
  </si>
  <si>
    <t>2287065764:eng</t>
  </si>
  <si>
    <t>7261941</t>
  </si>
  <si>
    <t>991005094139702656</t>
  </si>
  <si>
    <t>2259331810002656</t>
  </si>
  <si>
    <t>32285000926138</t>
  </si>
  <si>
    <t>893350693</t>
  </si>
  <si>
    <t>BV1471 .S523</t>
  </si>
  <si>
    <t>0                      BV 1471000S  523</t>
  </si>
  <si>
    <t>Sharing the light of faith : national catechetical directory for Catholics of the United States : an official commentary.</t>
  </si>
  <si>
    <t>[Washington] : Publications Office, United States Catholic Conference, c1981.</t>
  </si>
  <si>
    <t>2003-03-03</t>
  </si>
  <si>
    <t>3861406726:eng</t>
  </si>
  <si>
    <t>7438107</t>
  </si>
  <si>
    <t>991005111449702656</t>
  </si>
  <si>
    <t>2269004930002656</t>
  </si>
  <si>
    <t>32285000926146</t>
  </si>
  <si>
    <t>893242222</t>
  </si>
  <si>
    <t>BV1471.2 .B357 1984</t>
  </si>
  <si>
    <t>0                      BV 1471200B  357         1984</t>
  </si>
  <si>
    <t>Teaching Christian values / Lucie W. Barber.</t>
  </si>
  <si>
    <t>Barber, Lucie W.</t>
  </si>
  <si>
    <t>Birmingham, Ala. : Religious Education Press, 1984.</t>
  </si>
  <si>
    <t>1984</t>
  </si>
  <si>
    <t>2002-06-09</t>
  </si>
  <si>
    <t>3573589:eng</t>
  </si>
  <si>
    <t>10099249</t>
  </si>
  <si>
    <t>991000311529702656</t>
  </si>
  <si>
    <t>2265713110002656</t>
  </si>
  <si>
    <t>9780891350415</t>
  </si>
  <si>
    <t>32285000926153</t>
  </si>
  <si>
    <t>893231024</t>
  </si>
  <si>
    <t>BV1471.2 .B68 1989</t>
  </si>
  <si>
    <t>0                      BV 1471200B  68          1989</t>
  </si>
  <si>
    <t>Educating in faith : maps and visions / Mary C. Boys.</t>
  </si>
  <si>
    <t>Boys, Mary C.</t>
  </si>
  <si>
    <t>San Francisco : Harper &amp; Row, c1989.</t>
  </si>
  <si>
    <t>1st ed.</t>
  </si>
  <si>
    <t>cau</t>
  </si>
  <si>
    <t>1990-05-03</t>
  </si>
  <si>
    <t>6160608:eng</t>
  </si>
  <si>
    <t>18907284</t>
  </si>
  <si>
    <t>991001410949702656</t>
  </si>
  <si>
    <t>2256791810002656</t>
  </si>
  <si>
    <t>9780060610371</t>
  </si>
  <si>
    <t>32285000118124</t>
  </si>
  <si>
    <t>893244119</t>
  </si>
  <si>
    <t>BV1471.2 .C312 1965</t>
  </si>
  <si>
    <t>0                      BV 1471200C  312         1965</t>
  </si>
  <si>
    <t>The structure of catechetics.</t>
  </si>
  <si>
    <t>Caster, Marcel.</t>
  </si>
  <si>
    <t>New York] : Herder &amp; Herder, [1965]</t>
  </si>
  <si>
    <t>[2d augm. ed., adapted by the author and translated by Edward J. Dirkswager, Jr., Olga Guedetarian, and Mother Nicolas Smith.</t>
  </si>
  <si>
    <t xml:space="preserve">xx </t>
  </si>
  <si>
    <t>2007-04-24</t>
  </si>
  <si>
    <t>2908591886:eng</t>
  </si>
  <si>
    <t>3085942</t>
  </si>
  <si>
    <t>991004339489702656</t>
  </si>
  <si>
    <t>2266664300002656</t>
  </si>
  <si>
    <t>32285000926187</t>
  </si>
  <si>
    <t>893442502</t>
  </si>
  <si>
    <t>BV1471.2 .C3513 1971</t>
  </si>
  <si>
    <t>0                      BV 1471200C  3513        1971</t>
  </si>
  <si>
    <t>General catechetical directory.</t>
  </si>
  <si>
    <t>Catholic Church. Congregatio pro Clericis.</t>
  </si>
  <si>
    <t>Washington : Publications Office, United States Catholic Conference, 1971.</t>
  </si>
  <si>
    <t>1997-09-22</t>
  </si>
  <si>
    <t>1707576:eng</t>
  </si>
  <si>
    <t>623701</t>
  </si>
  <si>
    <t>991003069019702656</t>
  </si>
  <si>
    <t>2256058600002656</t>
  </si>
  <si>
    <t>32285000926203</t>
  </si>
  <si>
    <t>893874395</t>
  </si>
  <si>
    <t>BV1471.2 .C3514 2000</t>
  </si>
  <si>
    <t>0                      BV 1471200C  3514        2000</t>
  </si>
  <si>
    <t>Sowing seeds : notes and comments on the General directory for catechesis : a resource / developed by the Department of Education, United States Catholic Conference.</t>
  </si>
  <si>
    <t>United States Catholic Conference. Department of Education.</t>
  </si>
  <si>
    <t>Washington, D.C. : The Conference, c2000.</t>
  </si>
  <si>
    <t>Publication (United States Catholic Conference) ; no. 5-317</t>
  </si>
  <si>
    <t>2006-03-20</t>
  </si>
  <si>
    <t>2000-06-29</t>
  </si>
  <si>
    <t>1042367786:eng</t>
  </si>
  <si>
    <t>44070556</t>
  </si>
  <si>
    <t>991003196279702656</t>
  </si>
  <si>
    <t>2264876030002656</t>
  </si>
  <si>
    <t>9781574553178</t>
  </si>
  <si>
    <t>32285003713293</t>
  </si>
  <si>
    <t>893717406</t>
  </si>
  <si>
    <t>BV1471.2 .C47 1984</t>
  </si>
  <si>
    <t>0                      BV 1471200C  47          1984</t>
  </si>
  <si>
    <t>Changing patterns of religious education / edited by Marvin J. Taylor.</t>
  </si>
  <si>
    <t>Nashville : Abingdon Press, c1984.</t>
  </si>
  <si>
    <t>1998-12-05</t>
  </si>
  <si>
    <t>152287414:eng</t>
  </si>
  <si>
    <t>10123344</t>
  </si>
  <si>
    <t>991000316859702656</t>
  </si>
  <si>
    <t>2270290980002656</t>
  </si>
  <si>
    <t>9780687060467</t>
  </si>
  <si>
    <t>32285000105188</t>
  </si>
  <si>
    <t>893890575</t>
  </si>
  <si>
    <t>BV1471.2 .C76 1999</t>
  </si>
  <si>
    <t>0                      BV 1471200C  76          1999</t>
  </si>
  <si>
    <t>Character development in the Catholic school / by Patricia H. Cronin.</t>
  </si>
  <si>
    <t>Cronin, Patricia H.</t>
  </si>
  <si>
    <t>Washington, DC : National Catholic Educational Association, c1999</t>
  </si>
  <si>
    <t>1999</t>
  </si>
  <si>
    <t>2001-11-28</t>
  </si>
  <si>
    <t>1999-07-28</t>
  </si>
  <si>
    <t>26904073:eng</t>
  </si>
  <si>
    <t>41916096</t>
  </si>
  <si>
    <t>991003037589702656</t>
  </si>
  <si>
    <t>2257918120002656</t>
  </si>
  <si>
    <t>9781558332249</t>
  </si>
  <si>
    <t>32285003579769</t>
  </si>
  <si>
    <t>893323692</t>
  </si>
  <si>
    <t>BV1471.2 .F66 2000</t>
  </si>
  <si>
    <t>0                      BV 1471200F  66          2000</t>
  </si>
  <si>
    <t>Forging a better religious education in the third millennium / edited by James Michael Lee.</t>
  </si>
  <si>
    <t>Birmingham, AL : Religious Education Press, 2000.</t>
  </si>
  <si>
    <t>2004-07-12</t>
  </si>
  <si>
    <t>1810409745:eng</t>
  </si>
  <si>
    <t>43607316</t>
  </si>
  <si>
    <t>991003195909702656</t>
  </si>
  <si>
    <t>2261320230002656</t>
  </si>
  <si>
    <t>9780891351139</t>
  </si>
  <si>
    <t>32285003713202</t>
  </si>
  <si>
    <t>893441007</t>
  </si>
  <si>
    <t>BV1471.2 .F67</t>
  </si>
  <si>
    <t>0                      BV 1471200F  67</t>
  </si>
  <si>
    <t>Christian education where the learning is / [by] Virgil E. Foster.</t>
  </si>
  <si>
    <t>Foster, Virgil E.</t>
  </si>
  <si>
    <t>Englewood Cliffs, N.J., Prentice-Hall [1968]</t>
  </si>
  <si>
    <t>nju</t>
  </si>
  <si>
    <t>4066038073:eng</t>
  </si>
  <si>
    <t>385826</t>
  </si>
  <si>
    <t>991002645999702656</t>
  </si>
  <si>
    <t>2259138080002656</t>
  </si>
  <si>
    <t>32285000926245</t>
  </si>
  <si>
    <t>893886529</t>
  </si>
  <si>
    <t>BV1471.2 .G687 1980</t>
  </si>
  <si>
    <t>0                      BV 1471200G  687         1980</t>
  </si>
  <si>
    <t>Christian religious education : sharing our story and vision / Thomas H. Groome.</t>
  </si>
  <si>
    <t>Groome, Thomas H.</t>
  </si>
  <si>
    <t>San Francisco : Harper &amp; Row, c1980.</t>
  </si>
  <si>
    <t>403741:eng</t>
  </si>
  <si>
    <t>6280604</t>
  </si>
  <si>
    <t>991004957039702656</t>
  </si>
  <si>
    <t>2256094750002656</t>
  </si>
  <si>
    <t>9780060634919</t>
  </si>
  <si>
    <t>32285000926252</t>
  </si>
  <si>
    <t>893594290</t>
  </si>
  <si>
    <t>BV1471.2 .H3313 1971</t>
  </si>
  <si>
    <t>0                      BV 1471200H  3313        1971</t>
  </si>
  <si>
    <t>Theory of catechetics : language and experience in religious education / [by] Hubert Halbfas.</t>
  </si>
  <si>
    <t>Halbfas, Hubertus.</t>
  </si>
  <si>
    <t>[New York] : Herder and Herder, [1971]</t>
  </si>
  <si>
    <t>3901132885:eng</t>
  </si>
  <si>
    <t>141102</t>
  </si>
  <si>
    <t>991000812719702656</t>
  </si>
  <si>
    <t>2256009300002656</t>
  </si>
  <si>
    <t>32285000926260</t>
  </si>
  <si>
    <t>893255760</t>
  </si>
  <si>
    <t>BV1471.2 .K44</t>
  </si>
  <si>
    <t>0                      BV 1471200K  44</t>
  </si>
  <si>
    <t>Can Christians be educated? : A proposal for effective communication of our Christian religion / Morton Kelsey ; compiled and edited by Harold William Burgess.</t>
  </si>
  <si>
    <t>Kelsey, Morton T.</t>
  </si>
  <si>
    <t>Mishawaka, Ind. : Religious Education Press, c1977.</t>
  </si>
  <si>
    <t>2007-10-17</t>
  </si>
  <si>
    <t>1993-10-29</t>
  </si>
  <si>
    <t>481076899:eng</t>
  </si>
  <si>
    <t>2836976</t>
  </si>
  <si>
    <t>991004259079702656</t>
  </si>
  <si>
    <t>2262232080002656</t>
  </si>
  <si>
    <t>9780891350088</t>
  </si>
  <si>
    <t>32285001795748</t>
  </si>
  <si>
    <t>893706165</t>
  </si>
  <si>
    <t>BV1471.2 .L4418 1985</t>
  </si>
  <si>
    <t>0                      BV 1471200L  4418        1985</t>
  </si>
  <si>
    <t>The content of religious instruction : a social science approach / James Michael Lee.</t>
  </si>
  <si>
    <t>Lee, James Michael.</t>
  </si>
  <si>
    <t>Birmingham, Ala. : Religious Education Press, 1985.</t>
  </si>
  <si>
    <t>1090903602:eng</t>
  </si>
  <si>
    <t>11234574</t>
  </si>
  <si>
    <t>991000509559702656</t>
  </si>
  <si>
    <t>2257761740002656</t>
  </si>
  <si>
    <t>9780891350507</t>
  </si>
  <si>
    <t>32285000926286</t>
  </si>
  <si>
    <t>893496291</t>
  </si>
  <si>
    <t>BV1471.2 .L442 1973b</t>
  </si>
  <si>
    <t>0                      BV 1471200L  442         1973b</t>
  </si>
  <si>
    <t>The flow of religious instruction : a social science approach / James Michael Lee. --</t>
  </si>
  <si>
    <t>Mishawaka, Ind. : Religious Education Press, [1975] c1973.</t>
  </si>
  <si>
    <t>1975</t>
  </si>
  <si>
    <t>1650410:eng</t>
  </si>
  <si>
    <t>2171961</t>
  </si>
  <si>
    <t>991004036429702656</t>
  </si>
  <si>
    <t>2263975070002656</t>
  </si>
  <si>
    <t>9780891350019</t>
  </si>
  <si>
    <t>32285000926294</t>
  </si>
  <si>
    <t>893512722</t>
  </si>
  <si>
    <t>BV1471.2 .L443 1971b</t>
  </si>
  <si>
    <t>0                      BV 1471200L  443         1971b</t>
  </si>
  <si>
    <t>The shape of religious instruction : a social science approach / James Michael Lee. --</t>
  </si>
  <si>
    <t>Mishawaka, Ind. : Religious Education Press, c1971.</t>
  </si>
  <si>
    <t>1289772:eng</t>
  </si>
  <si>
    <t>2184797</t>
  </si>
  <si>
    <t>991004039779702656</t>
  </si>
  <si>
    <t>2261313020002656</t>
  </si>
  <si>
    <t>9780891350002</t>
  </si>
  <si>
    <t>32285000926302</t>
  </si>
  <si>
    <t>893343388</t>
  </si>
  <si>
    <t>BV1471.2 .M347 1973</t>
  </si>
  <si>
    <t>0                      BV 1471200M  347         1973</t>
  </si>
  <si>
    <t>Catechetics in context : notes and commentary on the General catechetical directory issued by the Sacred Congregation for the Clergy / by Berard L. Marthaler.</t>
  </si>
  <si>
    <t>Marthaler, Berard L.</t>
  </si>
  <si>
    <t>Huntington, Ind. : Our Sunday Visitor, [1973]</t>
  </si>
  <si>
    <t>1973</t>
  </si>
  <si>
    <t>1997-12-22</t>
  </si>
  <si>
    <t>1990-05-17</t>
  </si>
  <si>
    <t>366314805:eng</t>
  </si>
  <si>
    <t>613736</t>
  </si>
  <si>
    <t>991003055219702656</t>
  </si>
  <si>
    <t>2268336180002656</t>
  </si>
  <si>
    <t>9780879738426</t>
  </si>
  <si>
    <t>32285000152347</t>
  </si>
  <si>
    <t>893505155</t>
  </si>
  <si>
    <t>BV1471.2 .M56</t>
  </si>
  <si>
    <t>0                      BV 1471200M  56</t>
  </si>
  <si>
    <t>Design for religion : toward ecumenical education / Gabriel Moran.</t>
  </si>
  <si>
    <t>Moran, Gabriel.</t>
  </si>
  <si>
    <t>[New York] Herder and Herder [1970]</t>
  </si>
  <si>
    <t>1970</t>
  </si>
  <si>
    <t>1233443:eng</t>
  </si>
  <si>
    <t>116028</t>
  </si>
  <si>
    <t>991000657309702656</t>
  </si>
  <si>
    <t>2260496360002656</t>
  </si>
  <si>
    <t>32285000926385</t>
  </si>
  <si>
    <t>893689908</t>
  </si>
  <si>
    <t>BV1471.2 .M6</t>
  </si>
  <si>
    <t>0                      BV 1471200M  6</t>
  </si>
  <si>
    <t>Creative teaching in the church / [by] Eleanor Shelton Morrison and Virgil E. Foster.</t>
  </si>
  <si>
    <t>Morrison, Eleanor Shelton.</t>
  </si>
  <si>
    <t>Englewood Cliffs, N.J., Prentice-Hall [1963]</t>
  </si>
  <si>
    <t>1963</t>
  </si>
  <si>
    <t>2000-09-28</t>
  </si>
  <si>
    <t>2213346:eng</t>
  </si>
  <si>
    <t>1328917</t>
  </si>
  <si>
    <t>991003696299702656</t>
  </si>
  <si>
    <t>2259161180002656</t>
  </si>
  <si>
    <t>32285000926393</t>
  </si>
  <si>
    <t>893525116</t>
  </si>
  <si>
    <t>BV1471.2 .N4</t>
  </si>
  <si>
    <t>0                      BV 1471200N  4</t>
  </si>
  <si>
    <t>Where faith begins / [by] C. Ellis Nelson.</t>
  </si>
  <si>
    <t>Nelson, Carl Ellis, 1916-2011.</t>
  </si>
  <si>
    <t>Richmond : John Knox Press, [1967]</t>
  </si>
  <si>
    <t>vau</t>
  </si>
  <si>
    <t>The James Sprunt lectures, 1965</t>
  </si>
  <si>
    <t>1992-03-12</t>
  </si>
  <si>
    <t>1992-02-10</t>
  </si>
  <si>
    <t>457674:eng</t>
  </si>
  <si>
    <t>476078</t>
  </si>
  <si>
    <t>991002827489702656</t>
  </si>
  <si>
    <t>2254876150002656</t>
  </si>
  <si>
    <t>32285000868983</t>
  </si>
  <si>
    <t>893421844</t>
  </si>
  <si>
    <t>BV1471.2 .R45 1990</t>
  </si>
  <si>
    <t>0                      BV 1471200R  45          1990</t>
  </si>
  <si>
    <t>Religious education in the small membership church / edited by Nancy T. Foltz.</t>
  </si>
  <si>
    <t>Notre Dame, IN : Religious Education Press, 1990.</t>
  </si>
  <si>
    <t>1990</t>
  </si>
  <si>
    <t>1995-09-28</t>
  </si>
  <si>
    <t>1991-02-14</t>
  </si>
  <si>
    <t>22926957:eng</t>
  </si>
  <si>
    <t>22003845</t>
  </si>
  <si>
    <t>991001740729702656</t>
  </si>
  <si>
    <t>2272161380002656</t>
  </si>
  <si>
    <t>9780891350774</t>
  </si>
  <si>
    <t>32285000299429</t>
  </si>
  <si>
    <t>893408318</t>
  </si>
  <si>
    <t>BV1471.2 .S8</t>
  </si>
  <si>
    <t>0                      BV 1471200S  8</t>
  </si>
  <si>
    <t>Christian education and evangelism / by Donald Gordon Stewart.</t>
  </si>
  <si>
    <t>Stewart, Donald Gordon, 1895-</t>
  </si>
  <si>
    <t>Philadelphia, Westminster Press [1963]</t>
  </si>
  <si>
    <t>2007-11-06</t>
  </si>
  <si>
    <t>7692608:eng</t>
  </si>
  <si>
    <t>3076900</t>
  </si>
  <si>
    <t>991004337169702656</t>
  </si>
  <si>
    <t>2265985350002656</t>
  </si>
  <si>
    <t>32285000926450</t>
  </si>
  <si>
    <t>893417505</t>
  </si>
  <si>
    <t>BV1471.2 .U73 1989</t>
  </si>
  <si>
    <t>0                      BV 1471200U  73          1989</t>
  </si>
  <si>
    <t>Urban church education / edited by Donald B. Rogers.</t>
  </si>
  <si>
    <t>Birmingham, Ala. : Religious Education Press, 1989.</t>
  </si>
  <si>
    <t>2003-02-18</t>
  </si>
  <si>
    <t>349939580:eng</t>
  </si>
  <si>
    <t>19552832</t>
  </si>
  <si>
    <t>991001470869702656</t>
  </si>
  <si>
    <t>2269908220002656</t>
  </si>
  <si>
    <t>9780891350705</t>
  </si>
  <si>
    <t>32285000926476</t>
  </si>
  <si>
    <t>893414258</t>
  </si>
  <si>
    <t>BV1471.2 G687 1981</t>
  </si>
  <si>
    <t>0                      BV 1471200G  687         1981</t>
  </si>
  <si>
    <t>San Francisco : Harper &amp; Row, 1981, c1980.</t>
  </si>
  <si>
    <t>1st Harper &amp; Row paperback ed.</t>
  </si>
  <si>
    <t>2001-11-30</t>
  </si>
  <si>
    <t>1992-08-05</t>
  </si>
  <si>
    <t>9159255</t>
  </si>
  <si>
    <t>991000141739702656</t>
  </si>
  <si>
    <t>2268757020002656</t>
  </si>
  <si>
    <t>9780060634940</t>
  </si>
  <si>
    <t>32285001208445</t>
  </si>
  <si>
    <t>893527843</t>
  </si>
  <si>
    <t>BV1473 .D64 1988</t>
  </si>
  <si>
    <t>0                      BV 1473000D  64          1988</t>
  </si>
  <si>
    <t>Does the church really want religious education? / edited by Marlene Mayr.</t>
  </si>
  <si>
    <t>Birmingham, Ala. : Religious Education Press, c1988.</t>
  </si>
  <si>
    <t>1988</t>
  </si>
  <si>
    <t>1806755053:eng</t>
  </si>
  <si>
    <t>17263290</t>
  </si>
  <si>
    <t>991001193599702656</t>
  </si>
  <si>
    <t>2266454970002656</t>
  </si>
  <si>
    <t>9780891350620</t>
  </si>
  <si>
    <t>32285000099217</t>
  </si>
  <si>
    <t>893784907</t>
  </si>
  <si>
    <t>BV1473 .E47 1976</t>
  </si>
  <si>
    <t>0                      BV 1473000E  47          1976</t>
  </si>
  <si>
    <t>Emerging issues in religious education / edited by Gloria Durka and Joanmarie Smith.</t>
  </si>
  <si>
    <t>New York : Paulist Press, c1976.</t>
  </si>
  <si>
    <t>355959698:eng</t>
  </si>
  <si>
    <t>2584961</t>
  </si>
  <si>
    <t>991004185779702656</t>
  </si>
  <si>
    <t>2265018890002656</t>
  </si>
  <si>
    <t>9780809119714</t>
  </si>
  <si>
    <t>32285000926492</t>
  </si>
  <si>
    <t>893512923</t>
  </si>
  <si>
    <t>BV1473 .W65 1985</t>
  </si>
  <si>
    <t>0                      BV 1473000W  65          1985</t>
  </si>
  <si>
    <t>Women's issues in religious education / edited by Fern M. Giltner ; contributors, Ruth Floyd ... [et al.].</t>
  </si>
  <si>
    <t>1985</t>
  </si>
  <si>
    <t>1992-01-31</t>
  </si>
  <si>
    <t>4963290:eng</t>
  </si>
  <si>
    <t>12217186</t>
  </si>
  <si>
    <t>991000657759702656</t>
  </si>
  <si>
    <t>2267868690002656</t>
  </si>
  <si>
    <t>9780891350514</t>
  </si>
  <si>
    <t>32285000926583</t>
  </si>
  <si>
    <t>893515482</t>
  </si>
  <si>
    <t>BV1475.2 .C33</t>
  </si>
  <si>
    <t>0                      BV 1475200C  33</t>
  </si>
  <si>
    <t>Catechesis, realities and visions : a symposium on the catechesis of children and youth.</t>
  </si>
  <si>
    <t>Washington : Dept. of Education, United States Catholic Conference, c1977.</t>
  </si>
  <si>
    <t>11889841:eng</t>
  </si>
  <si>
    <t>3710450</t>
  </si>
  <si>
    <t>991004499159702656</t>
  </si>
  <si>
    <t>2259879200002656</t>
  </si>
  <si>
    <t>32285000926609</t>
  </si>
  <si>
    <t>893442678</t>
  </si>
  <si>
    <t>BV1475.2 .C814 1979</t>
  </si>
  <si>
    <t>0                      BV 1475200C  814         1979</t>
  </si>
  <si>
    <t>Christian child development / Iris V. Cully.</t>
  </si>
  <si>
    <t>San Francisco : Harper &amp; Row, c1979.</t>
  </si>
  <si>
    <t>1995-02-21</t>
  </si>
  <si>
    <t>1990-03-27</t>
  </si>
  <si>
    <t>403706:eng</t>
  </si>
  <si>
    <t>4495713</t>
  </si>
  <si>
    <t>991004657559702656</t>
  </si>
  <si>
    <t>2268098940002656</t>
  </si>
  <si>
    <t>9780060616489</t>
  </si>
  <si>
    <t>32285000098334</t>
  </si>
  <si>
    <t>893694177</t>
  </si>
  <si>
    <t>BV1475.2 .H339 1992</t>
  </si>
  <si>
    <t>0                      BV 1475200H  339         1992</t>
  </si>
  <si>
    <t>Handbook of children's religious education / edited by Donald Ratcliff.</t>
  </si>
  <si>
    <t>Birmingham, Ala. : Religious Education Press, 1992.</t>
  </si>
  <si>
    <t>2000-08-31</t>
  </si>
  <si>
    <t>1992-05-05</t>
  </si>
  <si>
    <t>27160353:eng</t>
  </si>
  <si>
    <t>25025870</t>
  </si>
  <si>
    <t>991001973199702656</t>
  </si>
  <si>
    <t>2264226320002656</t>
  </si>
  <si>
    <t>9780891350859</t>
  </si>
  <si>
    <t>32285001069375</t>
  </si>
  <si>
    <t>893715904</t>
  </si>
  <si>
    <t>BV1475.2 .M34 1952</t>
  </si>
  <si>
    <t>0                      BV 1475200M  34          1952</t>
  </si>
  <si>
    <t>The development of the idea of God in the Catholic child / John B. McDowell.</t>
  </si>
  <si>
    <t>McDowell, John B., 1921-</t>
  </si>
  <si>
    <t>Washington : Catholic University of America Press, 1952.</t>
  </si>
  <si>
    <t>1952</t>
  </si>
  <si>
    <t>Catholic University of America. Educational research monographs, v. 17, no. 1</t>
  </si>
  <si>
    <t>1992-04-06</t>
  </si>
  <si>
    <t>355795205:eng</t>
  </si>
  <si>
    <t>2070870</t>
  </si>
  <si>
    <t>991003999129702656</t>
  </si>
  <si>
    <t>2256820620002656</t>
  </si>
  <si>
    <t>32285000926641</t>
  </si>
  <si>
    <t>893618094</t>
  </si>
  <si>
    <t>BV1475.2 .M5613 1969</t>
  </si>
  <si>
    <t>0                      BV 1475200M  5613        1969</t>
  </si>
  <si>
    <t>Children and adolescents, our teachers / André Merlaud. Translated by Theodore DuBois.</t>
  </si>
  <si>
    <t>Merlaud, André.</t>
  </si>
  <si>
    <t>Paramus, N.J. : [Paulist Press, 1969]</t>
  </si>
  <si>
    <t>1969</t>
  </si>
  <si>
    <t>Paulist Press Deus books</t>
  </si>
  <si>
    <t>1992-04-09</t>
  </si>
  <si>
    <t>1186687:eng</t>
  </si>
  <si>
    <t>32599</t>
  </si>
  <si>
    <t>991000083629702656</t>
  </si>
  <si>
    <t>2258301220002656</t>
  </si>
  <si>
    <t>32285000926658</t>
  </si>
  <si>
    <t>893242969</t>
  </si>
  <si>
    <t>BV1475.2 .O33 1973</t>
  </si>
  <si>
    <t>0                      BV 1475200O  33          1973</t>
  </si>
  <si>
    <t>The religious formation of the elementary school child / [by] E. F. O'Doherty.</t>
  </si>
  <si>
    <t>O'Doherty, Eamonn Feichin.</t>
  </si>
  <si>
    <t>New York : Alba House, [1973]</t>
  </si>
  <si>
    <t>1487801:eng</t>
  </si>
  <si>
    <t>514633</t>
  </si>
  <si>
    <t>991002896829702656</t>
  </si>
  <si>
    <t>2262025850002656</t>
  </si>
  <si>
    <t>9780818902611</t>
  </si>
  <si>
    <t>32285000926930</t>
  </si>
  <si>
    <t>893524172</t>
  </si>
  <si>
    <t>BV1475.2 .P75 1964</t>
  </si>
  <si>
    <t>0                      BV 1475200P  75          1964</t>
  </si>
  <si>
    <t>Teaching primary children in the church / by Gertrude Priester.</t>
  </si>
  <si>
    <t>Priester, Gertrude Ann.</t>
  </si>
  <si>
    <t>Philadelphia : Geneva Press, c1964.</t>
  </si>
  <si>
    <t>1964</t>
  </si>
  <si>
    <t>1872818:eng</t>
  </si>
  <si>
    <t>924997</t>
  </si>
  <si>
    <t>991003388269702656</t>
  </si>
  <si>
    <t>2264372060002656</t>
  </si>
  <si>
    <t>32285000926674</t>
  </si>
  <si>
    <t>893234120</t>
  </si>
  <si>
    <t>BV1475.2 .W67</t>
  </si>
  <si>
    <t>0                      BV 1475200W  67</t>
  </si>
  <si>
    <t>World faiths in education / edited by W. Owen Cole. --</t>
  </si>
  <si>
    <t>London ; Boston : G. Allen &amp; Urwin, 1978.</t>
  </si>
  <si>
    <t>Unwin education books</t>
  </si>
  <si>
    <t>54253039:eng</t>
  </si>
  <si>
    <t>4334636</t>
  </si>
  <si>
    <t>991004625319702656</t>
  </si>
  <si>
    <t>2266637970002656</t>
  </si>
  <si>
    <t>9780043710548</t>
  </si>
  <si>
    <t>32285000926690</t>
  </si>
  <si>
    <t>893259944</t>
  </si>
  <si>
    <t>BV1475.8 .L413 1963</t>
  </si>
  <si>
    <t>0                      BV 1475800L  413         1963</t>
  </si>
  <si>
    <t>Bringing your child to God : the religious education of the pre-school child / [by] Xavier Lefebvre and Louis Perin. Translated by Marta Gondos.</t>
  </si>
  <si>
    <t>Lefebvre, Xavier.</t>
  </si>
  <si>
    <t>New York : P. J. Kenedy, [1963]</t>
  </si>
  <si>
    <t>2000-12-02</t>
  </si>
  <si>
    <t>432362317:eng</t>
  </si>
  <si>
    <t>2696734</t>
  </si>
  <si>
    <t>991004216459702656</t>
  </si>
  <si>
    <t>2265193530002656</t>
  </si>
  <si>
    <t>32285000926708</t>
  </si>
  <si>
    <t>893794613</t>
  </si>
  <si>
    <t>BV1475.9 .A7813 1968</t>
  </si>
  <si>
    <t>0                      BV 1475900A  7813        1968</t>
  </si>
  <si>
    <t>Forming the faith of adolescents / Jacques Audinet. Pref. by Gabriel Moran.</t>
  </si>
  <si>
    <t>Audinet, Jacques.</t>
  </si>
  <si>
    <t>[New York] : Herder and Herder, [1968]</t>
  </si>
  <si>
    <t>1990-05-01</t>
  </si>
  <si>
    <t>1542919:eng</t>
  </si>
  <si>
    <t>432794</t>
  </si>
  <si>
    <t>991002765159702656</t>
  </si>
  <si>
    <t>2272626540002656</t>
  </si>
  <si>
    <t>32285000145630</t>
  </si>
  <si>
    <t>893329510</t>
  </si>
  <si>
    <t>BV1475.9 .B293 1965</t>
  </si>
  <si>
    <t>0                      BV 1475900B  293         1965</t>
  </si>
  <si>
    <t>Faith and the adolescent / Pierre Babin. [Translated by David Gibson.</t>
  </si>
  <si>
    <t>Babin, Pierre.</t>
  </si>
  <si>
    <t>New York] : Herder and Herder, [1965]</t>
  </si>
  <si>
    <t>2008-06-24</t>
  </si>
  <si>
    <t>2999458027:eng</t>
  </si>
  <si>
    <t>512536</t>
  </si>
  <si>
    <t>991002892989702656</t>
  </si>
  <si>
    <t>2263277940002656</t>
  </si>
  <si>
    <t>32285000098342</t>
  </si>
  <si>
    <t>893440657</t>
  </si>
  <si>
    <t>BV1475.9 .B313</t>
  </si>
  <si>
    <t>0                      BV 1475900B  313</t>
  </si>
  <si>
    <t>Crisis of faith : the religious psychology of adolescence / Pierre Babin. [Translation and adaptation by Eva Fleischner.</t>
  </si>
  <si>
    <t>New York] Herder and Herder [1963]</t>
  </si>
  <si>
    <t>1840255162:eng</t>
  </si>
  <si>
    <t>860311</t>
  </si>
  <si>
    <t>991003329909702656</t>
  </si>
  <si>
    <t>2263014410002656</t>
  </si>
  <si>
    <t>32285000098359</t>
  </si>
  <si>
    <t>893323989</t>
  </si>
  <si>
    <t>BV1475.9 .B32 1968</t>
  </si>
  <si>
    <t>0                      BV 1475900B  32          1968</t>
  </si>
  <si>
    <t>Teaching religion to adolescents / [by] Pierre Babin [and] J. P. Bagot [translated from the French and adapted].</t>
  </si>
  <si>
    <t>London : Burns &amp; Oates, 1968.</t>
  </si>
  <si>
    <t>1992-08-31</t>
  </si>
  <si>
    <t>1322081:eng</t>
  </si>
  <si>
    <t>96574</t>
  </si>
  <si>
    <t>991000589939702656</t>
  </si>
  <si>
    <t>2271320750002656</t>
  </si>
  <si>
    <t>9780223976498</t>
  </si>
  <si>
    <t>32285000145648</t>
  </si>
  <si>
    <t>893432095</t>
  </si>
  <si>
    <t>BV1477 .L68</t>
  </si>
  <si>
    <t>0                      BV 1477000L  68</t>
  </si>
  <si>
    <t>Teenage religion : an enquiry into attitudes and possibilities among British boys and girsl in secondary modern schools / Harold Loukes.</t>
  </si>
  <si>
    <t>Loukes, Harold.</t>
  </si>
  <si>
    <t>London, SCM Press [1961]</t>
  </si>
  <si>
    <t>1961</t>
  </si>
  <si>
    <t>___</t>
  </si>
  <si>
    <t>2369860:eng</t>
  </si>
  <si>
    <t>1550680</t>
  </si>
  <si>
    <t>991003816929702656</t>
  </si>
  <si>
    <t>2262694020002656</t>
  </si>
  <si>
    <t>32285000926732</t>
  </si>
  <si>
    <t>893794086</t>
  </si>
  <si>
    <t>BV1478 .R36 1993</t>
  </si>
  <si>
    <t>0                      BV 1478000R  36          1993</t>
  </si>
  <si>
    <t>The godparent book / Elaine Ramshaw.</t>
  </si>
  <si>
    <t>Ramshaw, Elaine, 1956-</t>
  </si>
  <si>
    <t>Chicago, IL : Liturgy Training Publications, c1993.</t>
  </si>
  <si>
    <t>1993</t>
  </si>
  <si>
    <t>ilu</t>
  </si>
  <si>
    <t>2008-02-04</t>
  </si>
  <si>
    <t>30961754:eng</t>
  </si>
  <si>
    <t>28709891</t>
  </si>
  <si>
    <t>991005179789702656</t>
  </si>
  <si>
    <t>2255622690002656</t>
  </si>
  <si>
    <t>9781568540153</t>
  </si>
  <si>
    <t>32285005391783</t>
  </si>
  <si>
    <t>893520583</t>
  </si>
  <si>
    <t>BV1485 .R43</t>
  </si>
  <si>
    <t>0                      BV 1485000R  43</t>
  </si>
  <si>
    <t>Religious education ministry with youth / edited by D. Campbell Wyckoff and Don Richter.</t>
  </si>
  <si>
    <t>Birmingham, Ala. : Religious Education Press, 1982.</t>
  </si>
  <si>
    <t>1993-06-25</t>
  </si>
  <si>
    <t>349924247:eng</t>
  </si>
  <si>
    <t>7947412</t>
  </si>
  <si>
    <t>991005182779702656</t>
  </si>
  <si>
    <t>2270081200002656</t>
  </si>
  <si>
    <t>9780891350309</t>
  </si>
  <si>
    <t>32285000926765</t>
  </si>
  <si>
    <t>893418512</t>
  </si>
  <si>
    <t>BV1485 .W37 1975</t>
  </si>
  <si>
    <t>0                      BV 1485000W  37          1975</t>
  </si>
  <si>
    <t>A future for youth catechesis / by Michael Warren.</t>
  </si>
  <si>
    <t>Warren, Michael, 1935-</t>
  </si>
  <si>
    <t>New York : Paulist Press, [1975]</t>
  </si>
  <si>
    <t>Deus book</t>
  </si>
  <si>
    <t>2399821:eng</t>
  </si>
  <si>
    <t>1530617</t>
  </si>
  <si>
    <t>991003805609702656</t>
  </si>
  <si>
    <t>2269725350002656</t>
  </si>
  <si>
    <t>9780809118830</t>
  </si>
  <si>
    <t>32285000926773</t>
  </si>
  <si>
    <t>893900399</t>
  </si>
  <si>
    <t>BV1488 .A33</t>
  </si>
  <si>
    <t>0                      BV 1488000A  33</t>
  </si>
  <si>
    <t>Adult education in the church / edited by Roy B. Zuck and Gene A. Getz.</t>
  </si>
  <si>
    <t>Chicago, Moody Press [1970]</t>
  </si>
  <si>
    <t>1997-06-26</t>
  </si>
  <si>
    <t>350394108:eng</t>
  </si>
  <si>
    <t>114077</t>
  </si>
  <si>
    <t>991000652179702656</t>
  </si>
  <si>
    <t>2265394430002656</t>
  </si>
  <si>
    <t>32285000926781</t>
  </si>
  <si>
    <t>893796870</t>
  </si>
  <si>
    <t>BV1488 .B57 1990</t>
  </si>
  <si>
    <t>0                      BV 1488000B  57          1990</t>
  </si>
  <si>
    <t>Adult catechesis in the Christian community : some principles and guidelines / [Cesare Bissoli].</t>
  </si>
  <si>
    <t>Bissoli, Cesare.</t>
  </si>
  <si>
    <t>Vatican City : Libreria Editrice Vaticana ; [Washington, D.C. : United States Catholic Conference], c1990.</t>
  </si>
  <si>
    <t xml:space="preserve">vc </t>
  </si>
  <si>
    <t>Publication / Office for Publishing and Promotion Services, United States Catholic Conference ; no. 402-3</t>
  </si>
  <si>
    <t>1996-06-29</t>
  </si>
  <si>
    <t>1991-02-25</t>
  </si>
  <si>
    <t>3944037263:eng</t>
  </si>
  <si>
    <t>23064003</t>
  </si>
  <si>
    <t>991001836209702656</t>
  </si>
  <si>
    <t>2268187940002656</t>
  </si>
  <si>
    <t>9781555864026</t>
  </si>
  <si>
    <t>32285000299866</t>
  </si>
  <si>
    <t>893503740</t>
  </si>
  <si>
    <t>BV1488 .D68 1979</t>
  </si>
  <si>
    <t>0                      BV 1488000D  68          1979</t>
  </si>
  <si>
    <t>Parish as learning community : modeling for parish and adult growth / by Tom Downs.</t>
  </si>
  <si>
    <t>Downs, Tom, 1938-</t>
  </si>
  <si>
    <t>New York : Paulist Press, c1979.</t>
  </si>
  <si>
    <t>A Deus book</t>
  </si>
  <si>
    <t>2007-06-11</t>
  </si>
  <si>
    <t>1149396518:eng</t>
  </si>
  <si>
    <t>4867107</t>
  </si>
  <si>
    <t>991005090689702656</t>
  </si>
  <si>
    <t>2265433740002656</t>
  </si>
  <si>
    <t>9780809121724</t>
  </si>
  <si>
    <t>32285005316442</t>
  </si>
  <si>
    <t>893783002</t>
  </si>
  <si>
    <t>BV1488 .H36 1986</t>
  </si>
  <si>
    <t>0                      BV 1488000H  36          1986</t>
  </si>
  <si>
    <t>Handbook of adult religious education / edited by Nancy T. Foltz.</t>
  </si>
  <si>
    <t>Birmingham, Ala. : Religious Education Press, c1986.</t>
  </si>
  <si>
    <t>1986</t>
  </si>
  <si>
    <t>1995-11-19</t>
  </si>
  <si>
    <t>1992-02-03</t>
  </si>
  <si>
    <t>5457223:eng</t>
  </si>
  <si>
    <t>12810634</t>
  </si>
  <si>
    <t>991000742969702656</t>
  </si>
  <si>
    <t>2267520650002656</t>
  </si>
  <si>
    <t>9780891350521</t>
  </si>
  <si>
    <t>32285000926906</t>
  </si>
  <si>
    <t>893521967</t>
  </si>
  <si>
    <t>BV1488 .H363 1995</t>
  </si>
  <si>
    <t>0                      BV 1488000H  363         1995</t>
  </si>
  <si>
    <t>Handbook of young adult religious education / edited by Harley Atkinson.</t>
  </si>
  <si>
    <t>Birmingham, Ala. : Religious Education Press, 1995.</t>
  </si>
  <si>
    <t>1995-03-28</t>
  </si>
  <si>
    <t>33409073:eng</t>
  </si>
  <si>
    <t>31376512</t>
  </si>
  <si>
    <t>991002411029702656</t>
  </si>
  <si>
    <t>2255270220002656</t>
  </si>
  <si>
    <t>9780891350989</t>
  </si>
  <si>
    <t>32285002007721</t>
  </si>
  <si>
    <t>893335272</t>
  </si>
  <si>
    <t>BV1488 .M67</t>
  </si>
  <si>
    <t>0                      BV 1488000M  67</t>
  </si>
  <si>
    <t>Education toward adulthood / Gabriel Moran.</t>
  </si>
  <si>
    <t>16441700:eng</t>
  </si>
  <si>
    <t>5172385</t>
  </si>
  <si>
    <t>991004793529702656</t>
  </si>
  <si>
    <t>2256263710002656</t>
  </si>
  <si>
    <t>9780809121946</t>
  </si>
  <si>
    <t>32285000926971</t>
  </si>
  <si>
    <t>893795283</t>
  </si>
  <si>
    <t>BV1488 .P68 1986</t>
  </si>
  <si>
    <t>0                      BV 1488000P  68          1986</t>
  </si>
  <si>
    <t>How to form a catechumenate team / Karen M. Hinman.</t>
  </si>
  <si>
    <t>Powell, Karan H. (Karan Hinman), 1953-</t>
  </si>
  <si>
    <t>Chicago, Ill. : Liturgy Training Publications, c1986.</t>
  </si>
  <si>
    <t>Christian initiation series</t>
  </si>
  <si>
    <t>2005-04-13</t>
  </si>
  <si>
    <t>8814125:eng</t>
  </si>
  <si>
    <t>15025891</t>
  </si>
  <si>
    <t>991004529749702656</t>
  </si>
  <si>
    <t>2271711650002656</t>
  </si>
  <si>
    <t>9780930467531</t>
  </si>
  <si>
    <t>32285005030597</t>
  </si>
  <si>
    <t>893253793</t>
  </si>
  <si>
    <t>BV1489 .V63 1984</t>
  </si>
  <si>
    <t>0                      BV 1489000V  63          1984</t>
  </si>
  <si>
    <t>The religious education of older adults / Linda Jane Vogel.</t>
  </si>
  <si>
    <t>Vogel, Linda Jane.</t>
  </si>
  <si>
    <t>1993-07-14</t>
  </si>
  <si>
    <t>3471211:eng</t>
  </si>
  <si>
    <t>10023186</t>
  </si>
  <si>
    <t>991000301939702656</t>
  </si>
  <si>
    <t>2268718270002656</t>
  </si>
  <si>
    <t>9780891350408</t>
  </si>
  <si>
    <t>32285000927003</t>
  </si>
  <si>
    <t>893620361</t>
  </si>
  <si>
    <t>BV15 .B87 1982</t>
  </si>
  <si>
    <t>0                      BV 0015000B  87          1982</t>
  </si>
  <si>
    <t>Worship / by John E. Burkhart.</t>
  </si>
  <si>
    <t>Burkhart, John E. (John Ernest), 1927-</t>
  </si>
  <si>
    <t>Philadelphia : Westminster Press, c1982.</t>
  </si>
  <si>
    <t>1993-07-07</t>
  </si>
  <si>
    <t>3901457099:eng</t>
  </si>
  <si>
    <t>8114139</t>
  </si>
  <si>
    <t>991005205369702656</t>
  </si>
  <si>
    <t>2255331470002656</t>
  </si>
  <si>
    <t>9780664244095</t>
  </si>
  <si>
    <t>32285000098318</t>
  </si>
  <si>
    <t>893527101</t>
  </si>
  <si>
    <t>BV15 .G87 1989</t>
  </si>
  <si>
    <t>0                      BV 0015000G  87          1989</t>
  </si>
  <si>
    <t>Wholesome worship / Charles Gusmer ; foreword by Balthasar Fischer.</t>
  </si>
  <si>
    <t>Gusmer, Charles W.</t>
  </si>
  <si>
    <t>Washington, DC : Pastoral Press, 1989.</t>
  </si>
  <si>
    <t>2005-01-07</t>
  </si>
  <si>
    <t>1990-10-01</t>
  </si>
  <si>
    <t>23826818:eng</t>
  </si>
  <si>
    <t>21894531</t>
  </si>
  <si>
    <t>991001727029702656</t>
  </si>
  <si>
    <t>2263955170002656</t>
  </si>
  <si>
    <t>9780912405612</t>
  </si>
  <si>
    <t>32285000278506</t>
  </si>
  <si>
    <t>893414423</t>
  </si>
  <si>
    <t>BV15 .S34 1998</t>
  </si>
  <si>
    <t>0                      BV 0015000S  34          1998</t>
  </si>
  <si>
    <t>Searching for seekers : ministry for a new generation of the unchurched / Mary J. Scifres.</t>
  </si>
  <si>
    <t>Scifres, Mary J.</t>
  </si>
  <si>
    <t>Nashville, TN : Abingdon Press, c1998.</t>
  </si>
  <si>
    <t>2005-02-03</t>
  </si>
  <si>
    <t>1999-02-17</t>
  </si>
  <si>
    <t>17033301:eng</t>
  </si>
  <si>
    <t>39913329</t>
  </si>
  <si>
    <t>991002976419702656</t>
  </si>
  <si>
    <t>2266572970002656</t>
  </si>
  <si>
    <t>9780687005529</t>
  </si>
  <si>
    <t>32285003483558</t>
  </si>
  <si>
    <t>893893235</t>
  </si>
  <si>
    <t>BV15 .T67 1996</t>
  </si>
  <si>
    <t>0                      BV 0015000T  67          1996</t>
  </si>
  <si>
    <t>Worship, community &amp; the triune God of grace / James B. Torrance.</t>
  </si>
  <si>
    <t>Torrance, James.</t>
  </si>
  <si>
    <t>Downers Grove, Ill. : InterVarsity Press, c1996.</t>
  </si>
  <si>
    <t>1996</t>
  </si>
  <si>
    <t>2005-10-07</t>
  </si>
  <si>
    <t>1999-02-11</t>
  </si>
  <si>
    <t>133819152:eng</t>
  </si>
  <si>
    <t>36662886</t>
  </si>
  <si>
    <t>991002791989702656</t>
  </si>
  <si>
    <t>2258288140002656</t>
  </si>
  <si>
    <t>9780830818952</t>
  </si>
  <si>
    <t>32285003519260</t>
  </si>
  <si>
    <t>893347932</t>
  </si>
  <si>
    <t>BV15 .W537 1983</t>
  </si>
  <si>
    <t>0                      BV 0015000W  537         1983</t>
  </si>
  <si>
    <t>The service of God : Christian work and worship / William H. Willimon ; illustrations by Bruce Sayre.</t>
  </si>
  <si>
    <t>Willimon, William H.</t>
  </si>
  <si>
    <t>Nashville : Abingdon Press, c1983.</t>
  </si>
  <si>
    <t>1996-01-22</t>
  </si>
  <si>
    <t>367549737:eng</t>
  </si>
  <si>
    <t>8764126</t>
  </si>
  <si>
    <t>991000066979702656</t>
  </si>
  <si>
    <t>2265439950002656</t>
  </si>
  <si>
    <t>9780687380947</t>
  </si>
  <si>
    <t>32285000809854</t>
  </si>
  <si>
    <t>893534029</t>
  </si>
  <si>
    <t>BV150 .C663 1990</t>
  </si>
  <si>
    <t>0                      BV 0150000C  663         1990</t>
  </si>
  <si>
    <t>The distancing of God : the ambiguity of symbol in history and theology / Bernard J. Cooke.</t>
  </si>
  <si>
    <t>Cooke, Bernard J., 1922-</t>
  </si>
  <si>
    <t>Minneapolis : Fortress Press, 1990.</t>
  </si>
  <si>
    <t>1995-05-03</t>
  </si>
  <si>
    <t>1991-03-08</t>
  </si>
  <si>
    <t>102611045:eng</t>
  </si>
  <si>
    <t>20093396</t>
  </si>
  <si>
    <t>991001537749702656</t>
  </si>
  <si>
    <t>2255403570002656</t>
  </si>
  <si>
    <t>9780800624156</t>
  </si>
  <si>
    <t>32285000493717</t>
  </si>
  <si>
    <t>893684394</t>
  </si>
  <si>
    <t>BV150 .D55 1996</t>
  </si>
  <si>
    <t>0                      BV 0150000D  55          1996</t>
  </si>
  <si>
    <t>Images of truth : religion and the art of seeing / John W. Dixon, Jr.</t>
  </si>
  <si>
    <t>Dixon, John W., Jr., 1919-2004.</t>
  </si>
  <si>
    <t>Atlanta, Ga. : Scholars Press, c1996.</t>
  </si>
  <si>
    <t>Ventures in religion ; v. 3</t>
  </si>
  <si>
    <t>2004-03-15</t>
  </si>
  <si>
    <t>1999-11-09</t>
  </si>
  <si>
    <t>119250205:eng</t>
  </si>
  <si>
    <t>33160822</t>
  </si>
  <si>
    <t>991002551559702656</t>
  </si>
  <si>
    <t>2263949640002656</t>
  </si>
  <si>
    <t>9780788501838</t>
  </si>
  <si>
    <t>32285003619920</t>
  </si>
  <si>
    <t>893867377</t>
  </si>
  <si>
    <t>BV150 .S56 1984</t>
  </si>
  <si>
    <t>0                      BV 0150000S  56          1984</t>
  </si>
  <si>
    <t>Iconography and ritual : a study of analytical perspectives / Staale Sinding-Larsen.</t>
  </si>
  <si>
    <t>Sinding-Larsen, Staale.</t>
  </si>
  <si>
    <t>Oslo : Universitetsforlaget As ; Irvington-on-Hudson, N.Y. : U.S., Columbia University Press [distributor], c1984.</t>
  </si>
  <si>
    <t xml:space="preserve">no </t>
  </si>
  <si>
    <t>2006-01-09</t>
  </si>
  <si>
    <t>1991-11-22</t>
  </si>
  <si>
    <t>836707862:eng</t>
  </si>
  <si>
    <t>11925635</t>
  </si>
  <si>
    <t>991000615089702656</t>
  </si>
  <si>
    <t>2269855380002656</t>
  </si>
  <si>
    <t>9788200073062</t>
  </si>
  <si>
    <t>32285000835487</t>
  </si>
  <si>
    <t>893689861</t>
  </si>
  <si>
    <t>BV150 .S89 1980</t>
  </si>
  <si>
    <t>0                      BV 0150000S  89          1980</t>
  </si>
  <si>
    <t>The idea of the symbol : some nineteenth century comparisons with Coleridge / M. Jadwiga Swiatecka.</t>
  </si>
  <si>
    <t>Swiatecka, M. Jadwiga.</t>
  </si>
  <si>
    <t>Cambridge [Eng.] : New York : Cambridge University Press, 1980.</t>
  </si>
  <si>
    <t>1997-09-30</t>
  </si>
  <si>
    <t>17272633:eng</t>
  </si>
  <si>
    <t>5310113</t>
  </si>
  <si>
    <t>991004815769702656</t>
  </si>
  <si>
    <t>2264386270002656</t>
  </si>
  <si>
    <t>9780521223621</t>
  </si>
  <si>
    <t>32285000835495</t>
  </si>
  <si>
    <t>893418054</t>
  </si>
  <si>
    <t>BV150 .U76 1966</t>
  </si>
  <si>
    <t>0                      BV 0150000U  76          1966</t>
  </si>
  <si>
    <t>The Use and misuse of visual arts in religious education / edited by Celia T. Hubbard ; introd. by Mary Perkins Ryan.</t>
  </si>
  <si>
    <t>Glen Rock, N.J. : Paulist Press, 1966.</t>
  </si>
  <si>
    <t>Let's see ; no. 1</t>
  </si>
  <si>
    <t>1780660212:eng</t>
  </si>
  <si>
    <t>2571377</t>
  </si>
  <si>
    <t>991004167759702656</t>
  </si>
  <si>
    <t>2263243640002656</t>
  </si>
  <si>
    <t>32285000835511</t>
  </si>
  <si>
    <t>893525735</t>
  </si>
  <si>
    <t>BV1516.A1 B69 1988</t>
  </si>
  <si>
    <t>0                      BV 1516000A  1                  B  69          1988</t>
  </si>
  <si>
    <t>Sunday school : the formation of an American institution, 1790-1880 / Anne M. Boylan.</t>
  </si>
  <si>
    <t>Boylan, Anne M., 1947-</t>
  </si>
  <si>
    <t>New Haven : Yale University Press, c1988.</t>
  </si>
  <si>
    <t>ctu</t>
  </si>
  <si>
    <t>1999-07-14</t>
  </si>
  <si>
    <t>1997-05-05</t>
  </si>
  <si>
    <t>232062949:eng</t>
  </si>
  <si>
    <t>17259716</t>
  </si>
  <si>
    <t>991001191579702656</t>
  </si>
  <si>
    <t>2256649280002656</t>
  </si>
  <si>
    <t>9780300040197</t>
  </si>
  <si>
    <t>32285002544038</t>
  </si>
  <si>
    <t>893878707</t>
  </si>
  <si>
    <t>BV153.E85 C35 1991</t>
  </si>
  <si>
    <t>0                      BV 0153000E  85                 C  35          1991</t>
  </si>
  <si>
    <t>The Gothic idol : ideology and image-making in medieval art / Michael Camille.</t>
  </si>
  <si>
    <t>Camille, Michael.</t>
  </si>
  <si>
    <t>Cambridge : Cambridge University Press, 1989</t>
  </si>
  <si>
    <t>1991</t>
  </si>
  <si>
    <t>Cambridge new art history and criticism</t>
  </si>
  <si>
    <t>2006-10-22</t>
  </si>
  <si>
    <t>1998-10-20</t>
  </si>
  <si>
    <t>9940755:eng</t>
  </si>
  <si>
    <t>18016527</t>
  </si>
  <si>
    <t>991002059379702656</t>
  </si>
  <si>
    <t>2268414320002656</t>
  </si>
  <si>
    <t>9780521424301</t>
  </si>
  <si>
    <t>32285001448256</t>
  </si>
  <si>
    <t>893703621</t>
  </si>
  <si>
    <t>BV1531 .E57 1999</t>
  </si>
  <si>
    <t>0                      BV 1531000E  57          1999</t>
  </si>
  <si>
    <t>Empowering catechetical leaders / edited by Thomas H. Groome and Michael J. Corso.</t>
  </si>
  <si>
    <t>Washington, DC : National Catholic Educational Association, c1999.</t>
  </si>
  <si>
    <t>1999-03-31</t>
  </si>
  <si>
    <t>26019221:eng</t>
  </si>
  <si>
    <t>40887995</t>
  </si>
  <si>
    <t>991003011749702656</t>
  </si>
  <si>
    <t>2271906340002656</t>
  </si>
  <si>
    <t>9781558332195</t>
  </si>
  <si>
    <t>32285003547840</t>
  </si>
  <si>
    <t>893793226</t>
  </si>
  <si>
    <t>BV1531 .W38 2003</t>
  </si>
  <si>
    <t>0                      BV 1531000W  38          2003</t>
  </si>
  <si>
    <t>Living in an age of hope : a profile of effective catechetical leaders / Thomas P. Walters, Rita Tyson Walters.</t>
  </si>
  <si>
    <t>Walters, Thomas P.</t>
  </si>
  <si>
    <t>Washington, DC : NCEA, c2003.</t>
  </si>
  <si>
    <t>2003</t>
  </si>
  <si>
    <t>2003-12-17</t>
  </si>
  <si>
    <t>11317109:eng</t>
  </si>
  <si>
    <t>53323612</t>
  </si>
  <si>
    <t>991004091199702656</t>
  </si>
  <si>
    <t>2257861950002656</t>
  </si>
  <si>
    <t>9781558333109</t>
  </si>
  <si>
    <t>32285004847835</t>
  </si>
  <si>
    <t>893875666</t>
  </si>
  <si>
    <t>BV1533 .S36 2002</t>
  </si>
  <si>
    <t>0                      BV 1533000S  36          2002</t>
  </si>
  <si>
    <t>The scope of our art : the vocation of the theological teacher / edited by L. Gregory Jones and Stephanie Paulsell.</t>
  </si>
  <si>
    <t>Grand Rapids, Mich. : Eerdmans, c2002.</t>
  </si>
  <si>
    <t>2002</t>
  </si>
  <si>
    <t>2007-02-26</t>
  </si>
  <si>
    <t>2004-01-22</t>
  </si>
  <si>
    <t>917723304:eng</t>
  </si>
  <si>
    <t>47625340</t>
  </si>
  <si>
    <t>991004217539702656</t>
  </si>
  <si>
    <t>2270071290002656</t>
  </si>
  <si>
    <t>9780802849588</t>
  </si>
  <si>
    <t>32285004636196</t>
  </si>
  <si>
    <t>893506564</t>
  </si>
  <si>
    <t>BV1533.5 .E54 1998</t>
  </si>
  <si>
    <t>0                      BV 1533500E  54          1998</t>
  </si>
  <si>
    <t>Mentoring in religious education / Leona M. English.</t>
  </si>
  <si>
    <t>English, Leona M., 1963-</t>
  </si>
  <si>
    <t>Birmingham, AL : Religious Education Press, 1998.</t>
  </si>
  <si>
    <t>2000-06-24</t>
  </si>
  <si>
    <t>1998-11-18</t>
  </si>
  <si>
    <t>41999907:eng</t>
  </si>
  <si>
    <t>39122757</t>
  </si>
  <si>
    <t>991002940119702656</t>
  </si>
  <si>
    <t>2262386720002656</t>
  </si>
  <si>
    <t>9780891351078</t>
  </si>
  <si>
    <t>32285003490124</t>
  </si>
  <si>
    <t>893692188</t>
  </si>
  <si>
    <t>BV1534 .E35</t>
  </si>
  <si>
    <t>0                      BV 1534000E  35</t>
  </si>
  <si>
    <t>Education for volunteer teachers : a report on the Project for the Advancement of Church Education, 1968-1970 / Locke E. Bowman, Jr., director.</t>
  </si>
  <si>
    <t>Project for the Advancement of Church Education.</t>
  </si>
  <si>
    <t>Scottsdale, The Arizona Experiment; available from: National Teacher Education Project [1971]</t>
  </si>
  <si>
    <t>azu</t>
  </si>
  <si>
    <t>1994-10-12</t>
  </si>
  <si>
    <t>1992-04-30</t>
  </si>
  <si>
    <t>1386974:eng</t>
  </si>
  <si>
    <t>267066</t>
  </si>
  <si>
    <t>991002109829702656</t>
  </si>
  <si>
    <t>2268930230002656</t>
  </si>
  <si>
    <t>32285001090587</t>
  </si>
  <si>
    <t>893516904</t>
  </si>
  <si>
    <t>BV1536 .M48</t>
  </si>
  <si>
    <t>0                      BV 1536000M  48</t>
  </si>
  <si>
    <t>Religious arts and crafts for children / by Elfrieda Miller.</t>
  </si>
  <si>
    <t>Miller, Elfrieda, 1905-</t>
  </si>
  <si>
    <t>Saint Louis, Concordia Pub. House [1966]</t>
  </si>
  <si>
    <t>mou</t>
  </si>
  <si>
    <t>1994-09-16</t>
  </si>
  <si>
    <t>2198826:eng</t>
  </si>
  <si>
    <t>3083280</t>
  </si>
  <si>
    <t>991004339049702656</t>
  </si>
  <si>
    <t>2267924310002656</t>
  </si>
  <si>
    <t>32285000927110</t>
  </si>
  <si>
    <t>893247462</t>
  </si>
  <si>
    <t>BV155 .D313 1964</t>
  </si>
  <si>
    <t>0                      BV 0155000D  313         1964</t>
  </si>
  <si>
    <t>Primitive Christian symbols / by Jean Daniélou. Translated by Donald Attwater.</t>
  </si>
  <si>
    <t>Daniélou, Jean.</t>
  </si>
  <si>
    <t>Baltimore : Helicon Press, [1964]</t>
  </si>
  <si>
    <t>mdu</t>
  </si>
  <si>
    <t>1998-03-30</t>
  </si>
  <si>
    <t>4757682552:eng</t>
  </si>
  <si>
    <t>391941</t>
  </si>
  <si>
    <t>991002662489702656</t>
  </si>
  <si>
    <t>2260686700002656</t>
  </si>
  <si>
    <t>32285000835529</t>
  </si>
  <si>
    <t>893691852</t>
  </si>
  <si>
    <t>BV155 .T44 1962</t>
  </si>
  <si>
    <t>0                      BV 0155000T  44          1962</t>
  </si>
  <si>
    <t>Il simbolismo dei giudeo-cristiani / [di] E. Testa.</t>
  </si>
  <si>
    <t>Testa, Emmanuele.</t>
  </si>
  <si>
    <t>Gerusalemme : Tip. dei PP. francescani, 1962.</t>
  </si>
  <si>
    <t>1962</t>
  </si>
  <si>
    <t>ita</t>
  </si>
  <si>
    <t>Pubblicazione dello Studium Biblicum Franciscanum, n.14</t>
  </si>
  <si>
    <t>2009-06-01</t>
  </si>
  <si>
    <t>350669537:ita</t>
  </si>
  <si>
    <t>1225463</t>
  </si>
  <si>
    <t>991003631809702656</t>
  </si>
  <si>
    <t>2262560940002656</t>
  </si>
  <si>
    <t>32285004973482</t>
  </si>
  <si>
    <t>893330593</t>
  </si>
  <si>
    <t>BV1579 .W45 1988</t>
  </si>
  <si>
    <t>0                      BV 1579000W  45          1988</t>
  </si>
  <si>
    <t>Intergenerational religious education : models, theory, and prescription for interage life and learning in the faith community / James W. White.</t>
  </si>
  <si>
    <t>White, James W.</t>
  </si>
  <si>
    <t>Birmingham, Ala. : Religious Education Press, 1988.</t>
  </si>
  <si>
    <t>1996-04-10</t>
  </si>
  <si>
    <t>17543839:eng</t>
  </si>
  <si>
    <t>18321224</t>
  </si>
  <si>
    <t>991001329719702656</t>
  </si>
  <si>
    <t>2256833070002656</t>
  </si>
  <si>
    <t>9780891350675</t>
  </si>
  <si>
    <t>32285000927169</t>
  </si>
  <si>
    <t>893426521</t>
  </si>
  <si>
    <t>BV1590 .H37 1995</t>
  </si>
  <si>
    <t>0                      BV 1590000H  37          1995</t>
  </si>
  <si>
    <t>Handbook of family religious education / edited by Blake J. Neff and Donald Ratcliff.</t>
  </si>
  <si>
    <t>Birmingham, Ala : Religious Education Press, 1995.</t>
  </si>
  <si>
    <t>1998-05-21</t>
  </si>
  <si>
    <t>1995-12-27</t>
  </si>
  <si>
    <t>349943118:eng</t>
  </si>
  <si>
    <t>33245401</t>
  </si>
  <si>
    <t>991002558499702656</t>
  </si>
  <si>
    <t>2257053600002656</t>
  </si>
  <si>
    <t>9780891350958</t>
  </si>
  <si>
    <t>32285002112158</t>
  </si>
  <si>
    <t>893609988</t>
  </si>
  <si>
    <t>BV1590 .N4 1954</t>
  </si>
  <si>
    <t>0                      BV 1590000N  4           1954</t>
  </si>
  <si>
    <t>We and our children : molding the child in Christian living.</t>
  </si>
  <si>
    <t>Newland, Mary Reed.</t>
  </si>
  <si>
    <t>New York : Kenedy, [1954]</t>
  </si>
  <si>
    <t>1954</t>
  </si>
  <si>
    <t>2393522:eng</t>
  </si>
  <si>
    <t>1487371</t>
  </si>
  <si>
    <t>991003777489702656</t>
  </si>
  <si>
    <t>2259164440002656</t>
  </si>
  <si>
    <t>32285000927219</t>
  </si>
  <si>
    <t>893499695</t>
  </si>
  <si>
    <t>BV1590 .R313 1959</t>
  </si>
  <si>
    <t>0                      BV 1590000R  313         1959</t>
  </si>
  <si>
    <t>Together toward God : religious training in the family / by P. Ranwez, J. and M.-L. Defossa and J. Gérard-Libois. Translated by Paul Barrett.</t>
  </si>
  <si>
    <t>Ranwez, Pierre.</t>
  </si>
  <si>
    <t>Westminster, Md. : Newman Press, 1959.</t>
  </si>
  <si>
    <t>1959</t>
  </si>
  <si>
    <t>5936938:eng</t>
  </si>
  <si>
    <t>2692691</t>
  </si>
  <si>
    <t>991004213889702656</t>
  </si>
  <si>
    <t>2265970030002656</t>
  </si>
  <si>
    <t>32285000927235</t>
  </si>
  <si>
    <t>893442349</t>
  </si>
  <si>
    <t>BV1610 .H33</t>
  </si>
  <si>
    <t>0                      BV 1610000H  33</t>
  </si>
  <si>
    <t>Theology and the church in the university / by Julian N. Hartt.</t>
  </si>
  <si>
    <t>Hartt, Julian Norris.</t>
  </si>
  <si>
    <t>Philadelphia, Westminster Press [1969]</t>
  </si>
  <si>
    <t>1997-03-07</t>
  </si>
  <si>
    <t>1128414:eng</t>
  </si>
  <si>
    <t>4980</t>
  </si>
  <si>
    <t>991005437079702656</t>
  </si>
  <si>
    <t>2266345340002656</t>
  </si>
  <si>
    <t>9780664248451</t>
  </si>
  <si>
    <t>32285000927276</t>
  </si>
  <si>
    <t>893902725</t>
  </si>
  <si>
    <t>BV1610 .W28</t>
  </si>
  <si>
    <t>0                      BV 1610000W  28</t>
  </si>
  <si>
    <t>Religion and the State university / edited by Erich A. Walter.</t>
  </si>
  <si>
    <t>Walter, Erich A. (Erich Albert), editor.</t>
  </si>
  <si>
    <t>Ann Arbor, University of Michigan Press [1958]</t>
  </si>
  <si>
    <t>1958</t>
  </si>
  <si>
    <t>1995-05-01</t>
  </si>
  <si>
    <t>2006-09-27</t>
  </si>
  <si>
    <t>5218432466:eng</t>
  </si>
  <si>
    <t>387133</t>
  </si>
  <si>
    <t>991002650909702656</t>
  </si>
  <si>
    <t>2258226260002656</t>
  </si>
  <si>
    <t>32285000927524</t>
  </si>
  <si>
    <t>893251468</t>
  </si>
  <si>
    <t>32285000927318</t>
  </si>
  <si>
    <t>893251469</t>
  </si>
  <si>
    <t>BV1650 .V38 1998</t>
  </si>
  <si>
    <t>0                      BV 1650000V  38          1998</t>
  </si>
  <si>
    <t>How to use camping experiences in religious education : transformation through Christian camping / by Stephen F. Venable and Donald M. Joy.</t>
  </si>
  <si>
    <t>Venable, Stephen F., 1960-</t>
  </si>
  <si>
    <t>Birmingham, Ala. : Religious Education Press, 1998.</t>
  </si>
  <si>
    <t>A kenosis book</t>
  </si>
  <si>
    <t>1998-06-09</t>
  </si>
  <si>
    <t>41763052:eng</t>
  </si>
  <si>
    <t>38566603</t>
  </si>
  <si>
    <t>991002916929702656</t>
  </si>
  <si>
    <t>2263063690002656</t>
  </si>
  <si>
    <t>9780891351047</t>
  </si>
  <si>
    <t>32285003413951</t>
  </si>
  <si>
    <t>893517922</t>
  </si>
  <si>
    <t>BV168.C4 P5</t>
  </si>
  <si>
    <t>0                      BV 0168000C  4                  P  5</t>
  </si>
  <si>
    <t>The riddle of the 'Labarum' and the origin of Christian symbols / [by] George Pitt-Rivers.</t>
  </si>
  <si>
    <t>Pitt-Rivers, George Henry Lane Fox, 1890-1966.</t>
  </si>
  <si>
    <t>1994-03-29</t>
  </si>
  <si>
    <t>1625293:eng</t>
  </si>
  <si>
    <t>758379</t>
  </si>
  <si>
    <t>991003234029702656</t>
  </si>
  <si>
    <t>2271967100002656</t>
  </si>
  <si>
    <t>32285000835545</t>
  </si>
  <si>
    <t>893342367</t>
  </si>
  <si>
    <t>BV169.5 .S45 1973</t>
  </si>
  <si>
    <t>0                      BV 0169500S  45          1973</t>
  </si>
  <si>
    <t>Liturgie et rémission des péchés : Conférences Saint-Serge, XXe Semaine d'études liturgiques : Paris, 2-5 juillet 1973.</t>
  </si>
  <si>
    <t>Semaine d'études liturgiques (20th : 1973 : Paris, France)</t>
  </si>
  <si>
    <t>Roma : Edizioni liturgiche, 1975.</t>
  </si>
  <si>
    <t>fre</t>
  </si>
  <si>
    <t>Bibliotheca "Ephemerides liturgicae." Subsidia ; 3</t>
  </si>
  <si>
    <t>1994-01-20</t>
  </si>
  <si>
    <t>3769860446:fre</t>
  </si>
  <si>
    <t>4439592</t>
  </si>
  <si>
    <t>991004638509702656</t>
  </si>
  <si>
    <t>2265660340002656</t>
  </si>
  <si>
    <t>32285000835560</t>
  </si>
  <si>
    <t>893507079</t>
  </si>
  <si>
    <t>BV169.5 .S45 1977</t>
  </si>
  <si>
    <t>0                      BV 0169500S  45          1977</t>
  </si>
  <si>
    <t>Gestes et paroles dans les diverses familles liturgiques : Conférences Saint-Serge, XXIVe Semaine d'études liturgiques, Paris, 28 juin-1er juillet 1977.</t>
  </si>
  <si>
    <t>Semaine d'études liturgiques (24th : 1977 : Paris, France)</t>
  </si>
  <si>
    <t>Roma : Centro liturgico vincenziano, 1978.</t>
  </si>
  <si>
    <t>Bibliotheca "Ephemerides liturgicae." Subsidia ; 14</t>
  </si>
  <si>
    <t>2010-02-19</t>
  </si>
  <si>
    <t>8910778739:fre</t>
  </si>
  <si>
    <t>6581231</t>
  </si>
  <si>
    <t>991005008099702656</t>
  </si>
  <si>
    <t>2258179620002656</t>
  </si>
  <si>
    <t>32285000835594</t>
  </si>
  <si>
    <t>893319882</t>
  </si>
  <si>
    <t>BV169.5 .S45 1983</t>
  </si>
  <si>
    <t>0                      BV 0169500S  45          1983</t>
  </si>
  <si>
    <t>Trinité et liturgie : Conférences Saint-Serge, XXXe Semaine d'études liturgiques, Paris, 28 juin-1er juillet 1983 / éditées par A.M. Triacca et A. Pistoia ; [textes de] Andronikof C. ... [et al.].</t>
  </si>
  <si>
    <t>Semaine d'études liturgiques (30th : 1983 : Paris, France)</t>
  </si>
  <si>
    <t>Roma : C.L.V.-Edizioni liturgiche, 1984.</t>
  </si>
  <si>
    <t>Bibliotheca "Ephemerides liturgicae." Subsidia ; 32</t>
  </si>
  <si>
    <t>2007-06-04</t>
  </si>
  <si>
    <t>1992-04-28</t>
  </si>
  <si>
    <t>473181668:fre</t>
  </si>
  <si>
    <t>13095143</t>
  </si>
  <si>
    <t>991000780209702656</t>
  </si>
  <si>
    <t>2255659690002656</t>
  </si>
  <si>
    <t>32285000835644</t>
  </si>
  <si>
    <t>893771956</t>
  </si>
  <si>
    <t>BV175 .J3 1973</t>
  </si>
  <si>
    <t>0                      BV 0175000J  3           1973</t>
  </si>
  <si>
    <t>Christian myth and ritual : a historical study / by E. O. James.</t>
  </si>
  <si>
    <t>James, E. O. (Edwin Oliver), 1888-1972.</t>
  </si>
  <si>
    <t>Gloucester, Mass. : P. Smith, 1973.</t>
  </si>
  <si>
    <t>222203609:eng</t>
  </si>
  <si>
    <t>1578709</t>
  </si>
  <si>
    <t>991003826709702656</t>
  </si>
  <si>
    <t>2262389520002656</t>
  </si>
  <si>
    <t>9780844623078</t>
  </si>
  <si>
    <t>32285000835727</t>
  </si>
  <si>
    <t>893718118</t>
  </si>
  <si>
    <t>BV176 .B3 1958</t>
  </si>
  <si>
    <t>0                      BV 0176000B  3           1958</t>
  </si>
  <si>
    <t>Comparative liturgy / by Anton Baumstark, revised by Bernard Botte. English edition by F.L. Cross.</t>
  </si>
  <si>
    <t>Baumstark, Anton, 1872-1948.</t>
  </si>
  <si>
    <t>Westminster, Md. : Newman Press, [1958]</t>
  </si>
  <si>
    <t>1996-05-24</t>
  </si>
  <si>
    <t>1921797:eng</t>
  </si>
  <si>
    <t>966733</t>
  </si>
  <si>
    <t>991003431829702656</t>
  </si>
  <si>
    <t>2262189040002656</t>
  </si>
  <si>
    <t>32285000835743</t>
  </si>
  <si>
    <t>893592510</t>
  </si>
  <si>
    <t>BV176 .B34 1991</t>
  </si>
  <si>
    <t>0                      BV 0176000B  34          1991</t>
  </si>
  <si>
    <t>Worship : city, church and renewal / John F. Baldovin.</t>
  </si>
  <si>
    <t>Baldovin, John F. (John Francis), 1947-</t>
  </si>
  <si>
    <t>Washington, D.C. : Pastoral Press, c1991.</t>
  </si>
  <si>
    <t>1997-12-02</t>
  </si>
  <si>
    <t>1097376267:eng</t>
  </si>
  <si>
    <t>23960261</t>
  </si>
  <si>
    <t>991001896229702656</t>
  </si>
  <si>
    <t>2272100480002656</t>
  </si>
  <si>
    <t>9780912405780</t>
  </si>
  <si>
    <t>32285001875730</t>
  </si>
  <si>
    <t>893534742</t>
  </si>
  <si>
    <t>BV176 .C64 1983</t>
  </si>
  <si>
    <t>0                      BV 0176000C  64          1983</t>
  </si>
  <si>
    <t>More than meets the eye : ritual and parish liturgy / Patrick W. Collins.</t>
  </si>
  <si>
    <t>Collins, Patrick W.</t>
  </si>
  <si>
    <t>New York : Paulist Press, c1983.</t>
  </si>
  <si>
    <t>1999-07-20</t>
  </si>
  <si>
    <t>5164223638:eng</t>
  </si>
  <si>
    <t>9854129</t>
  </si>
  <si>
    <t>991000270859702656</t>
  </si>
  <si>
    <t>2261394720002656</t>
  </si>
  <si>
    <t>9780809125395</t>
  </si>
  <si>
    <t>32285000835768</t>
  </si>
  <si>
    <t>893614061</t>
  </si>
  <si>
    <t>BV176 .C65 1987</t>
  </si>
  <si>
    <t>0                      BV 0176000C  65          1987</t>
  </si>
  <si>
    <t>Worship : renewal to practice / Mary Collins.</t>
  </si>
  <si>
    <t>Collins, Mary, 1935-</t>
  </si>
  <si>
    <t>Washington, D.C. : Pastoral Press, 1987.</t>
  </si>
  <si>
    <t>1992-08-04</t>
  </si>
  <si>
    <t>1990-05-08</t>
  </si>
  <si>
    <t>378254460:eng</t>
  </si>
  <si>
    <t>16518035</t>
  </si>
  <si>
    <t>991001113579702656</t>
  </si>
  <si>
    <t>2256367610002656</t>
  </si>
  <si>
    <t>9780912405322</t>
  </si>
  <si>
    <t>32285000150515</t>
  </si>
  <si>
    <t>893426328</t>
  </si>
  <si>
    <t>BV176 .E56 1987</t>
  </si>
  <si>
    <t>0                      BV 0176000E  56          1987</t>
  </si>
  <si>
    <t>Worship : exploring the sacred / James Empereur.</t>
  </si>
  <si>
    <t>Empereur, James L.</t>
  </si>
  <si>
    <t>1992-01-11</t>
  </si>
  <si>
    <t>1990-04-11</t>
  </si>
  <si>
    <t>378254468:eng</t>
  </si>
  <si>
    <t>16518055</t>
  </si>
  <si>
    <t>991001113609702656</t>
  </si>
  <si>
    <t>2258781590002656</t>
  </si>
  <si>
    <t>9780912405339</t>
  </si>
  <si>
    <t>32285000094937</t>
  </si>
  <si>
    <t>893522305</t>
  </si>
  <si>
    <t>BV176 .H34 1976</t>
  </si>
  <si>
    <t>0                      BV 0176000H  34          1976</t>
  </si>
  <si>
    <t>Sanctifying life, time, and space : an introduction to liturgical study / Marion J. Hatchett.</t>
  </si>
  <si>
    <t>Hatchett, Marion J.</t>
  </si>
  <si>
    <t>New York : Seabury Press, c1976.</t>
  </si>
  <si>
    <t>1990-04-26</t>
  </si>
  <si>
    <t>479580:eng</t>
  </si>
  <si>
    <t>1863593</t>
  </si>
  <si>
    <t>991003918169702656</t>
  </si>
  <si>
    <t>2263263700002656</t>
  </si>
  <si>
    <t>9780816402908</t>
  </si>
  <si>
    <t>32285000133875</t>
  </si>
  <si>
    <t>893441952</t>
  </si>
  <si>
    <t>BV176 .H57 1974</t>
  </si>
  <si>
    <t>0                      BV 0176000H  57          1974</t>
  </si>
  <si>
    <t>The recovery of the sacred / James Hitchcock.</t>
  </si>
  <si>
    <t>Hitchcock, James, 1938-</t>
  </si>
  <si>
    <t>New York : Seabury Press, [1974]</t>
  </si>
  <si>
    <t>1974</t>
  </si>
  <si>
    <t>2010-03-02</t>
  </si>
  <si>
    <t>1991-12-06</t>
  </si>
  <si>
    <t>1647433:eng</t>
  </si>
  <si>
    <t>763573</t>
  </si>
  <si>
    <t>991003240599702656</t>
  </si>
  <si>
    <t>2266508100002656</t>
  </si>
  <si>
    <t>9780816411504</t>
  </si>
  <si>
    <t>32285000837624</t>
  </si>
  <si>
    <t>893441062</t>
  </si>
  <si>
    <t>BV176 .J813 1962</t>
  </si>
  <si>
    <t>0                      BV 0176000J  813         1962</t>
  </si>
  <si>
    <t>Pastoral liturgy / by J.A. Jungmann.</t>
  </si>
  <si>
    <t>Jungmann, Josef A. (Josef Andreas), 1889-1975.</t>
  </si>
  <si>
    <t>New York : Herder and Herder, [1962]</t>
  </si>
  <si>
    <t>2008-03-10</t>
  </si>
  <si>
    <t>1966680:eng</t>
  </si>
  <si>
    <t>2717685</t>
  </si>
  <si>
    <t>991004222649702656</t>
  </si>
  <si>
    <t>2269864950002656</t>
  </si>
  <si>
    <t>32285000835784</t>
  </si>
  <si>
    <t>893235219</t>
  </si>
  <si>
    <t>BV176 .L37 1993</t>
  </si>
  <si>
    <t>0                      BV 0176000L  37          1993</t>
  </si>
  <si>
    <t>Holy things : a liturgical theology / Gordon W. Lathrop.</t>
  </si>
  <si>
    <t>Lathrop, Gordon W., 1939-</t>
  </si>
  <si>
    <t>Minneapolis : Fortress Press, c1993.</t>
  </si>
  <si>
    <t>1994-04-20</t>
  </si>
  <si>
    <t>30280545:eng</t>
  </si>
  <si>
    <t>28113906</t>
  </si>
  <si>
    <t>991002183859702656</t>
  </si>
  <si>
    <t>2256201090002656</t>
  </si>
  <si>
    <t>9780800627270</t>
  </si>
  <si>
    <t>32285001875474</t>
  </si>
  <si>
    <t>893597117</t>
  </si>
  <si>
    <t>BV176 .N48</t>
  </si>
  <si>
    <t>0                      BV 0176000N  48</t>
  </si>
  <si>
    <t>Learning through liturgy / Gwen Kennedy Neville and John H. Westerhoff, III.</t>
  </si>
  <si>
    <t>Neville, Gwen Kennedy, 1938-</t>
  </si>
  <si>
    <t>New York : Seabury Press, 1978.</t>
  </si>
  <si>
    <t>1998-07-24</t>
  </si>
  <si>
    <t>13615553:eng</t>
  </si>
  <si>
    <t>4004025</t>
  </si>
  <si>
    <t>991004563729702656</t>
  </si>
  <si>
    <t>2265226290002656</t>
  </si>
  <si>
    <t>9780816404063</t>
  </si>
  <si>
    <t>32285000835818</t>
  </si>
  <si>
    <t>893807223</t>
  </si>
  <si>
    <t>BV176 .S24 1978</t>
  </si>
  <si>
    <t>0                      BV 0176000S  24          1978</t>
  </si>
  <si>
    <t>Liturgy and symbolism / by Nicholas Sagovsky.</t>
  </si>
  <si>
    <t>Sagovsky, Nicholas, 1947-</t>
  </si>
  <si>
    <t>Bramcote Notts. : Grove Books, 1978.</t>
  </si>
  <si>
    <t>Grove liturgical study series ; no. 16 0306-0608</t>
  </si>
  <si>
    <t>15073244:eng</t>
  </si>
  <si>
    <t>4835742</t>
  </si>
  <si>
    <t>991004732719702656</t>
  </si>
  <si>
    <t>2268245370002656</t>
  </si>
  <si>
    <t>9780905422480</t>
  </si>
  <si>
    <t>32285000835842</t>
  </si>
  <si>
    <t>893694250</t>
  </si>
  <si>
    <t>BV176 .S45 1983</t>
  </si>
  <si>
    <t>0                      BV 0176000S  45          1983</t>
  </si>
  <si>
    <t>Christian worship and its cultural setting / Frank C. Senn.</t>
  </si>
  <si>
    <t>Senn, Frank C.</t>
  </si>
  <si>
    <t>Philadelphia : Fortress Press, c1983.</t>
  </si>
  <si>
    <t>1990-08-08</t>
  </si>
  <si>
    <t>43074250:eng</t>
  </si>
  <si>
    <t>9111528</t>
  </si>
  <si>
    <t>991000131239702656</t>
  </si>
  <si>
    <t>2266821770002656</t>
  </si>
  <si>
    <t>9780800617004</t>
  </si>
  <si>
    <t>32285000269919</t>
  </si>
  <si>
    <t>893406960</t>
  </si>
  <si>
    <t>BV176 .S453 2000</t>
  </si>
  <si>
    <t>0                      BV 0176000S  453         2000</t>
  </si>
  <si>
    <t>New creation : a liturgical worldview / Frank C. Senn.</t>
  </si>
  <si>
    <t>Minneapolis, MN : Fortress Press, c2000.</t>
  </si>
  <si>
    <t>2010-04-11</t>
  </si>
  <si>
    <t>2001-08-22</t>
  </si>
  <si>
    <t>890992730:eng</t>
  </si>
  <si>
    <t>43555310</t>
  </si>
  <si>
    <t>991003575479702656</t>
  </si>
  <si>
    <t>2255653310002656</t>
  </si>
  <si>
    <t>9780800632359</t>
  </si>
  <si>
    <t>32285004379565</t>
  </si>
  <si>
    <t>893228176</t>
  </si>
  <si>
    <t>BV176 .T68 1978</t>
  </si>
  <si>
    <t>0                      BV 0176000T  68          1978</t>
  </si>
  <si>
    <t>Touchstones for liturgical ministers / edited by Virginia Sloyan.</t>
  </si>
  <si>
    <t>Washington : The Liturgical Conference and The Federation of Diocesan Liturgical Commissions, c1978.</t>
  </si>
  <si>
    <t>5584872136:eng</t>
  </si>
  <si>
    <t>5392828</t>
  </si>
  <si>
    <t>991004528359702656</t>
  </si>
  <si>
    <t>2271002780002656</t>
  </si>
  <si>
    <t>9780918208187</t>
  </si>
  <si>
    <t>32285005030860</t>
  </si>
  <si>
    <t>893788807</t>
  </si>
  <si>
    <t>BV178 .D49 2001</t>
  </si>
  <si>
    <t>0                      BV 0178000D  49          2001</t>
  </si>
  <si>
    <t>Dissident daughters : feminist liturgies in global context / edited by Teresa Berger.</t>
  </si>
  <si>
    <t>Louisville, Ky. : Westminster John Knox Press, c2001.</t>
  </si>
  <si>
    <t>2001</t>
  </si>
  <si>
    <t>kyu</t>
  </si>
  <si>
    <t>2003-10-08</t>
  </si>
  <si>
    <t>838572909:eng</t>
  </si>
  <si>
    <t>47690481</t>
  </si>
  <si>
    <t>991004115479702656</t>
  </si>
  <si>
    <t>2269847500002656</t>
  </si>
  <si>
    <t>9780664223793</t>
  </si>
  <si>
    <t>32285004787312</t>
  </si>
  <si>
    <t>893512825</t>
  </si>
  <si>
    <t>BV178 .D5 1945a</t>
  </si>
  <si>
    <t>0                      BV 0178000D  5           1945a</t>
  </si>
  <si>
    <t>The shape of the liturgy / by Dom Gregory Dix.</t>
  </si>
  <si>
    <t>Dix, Gregory.</t>
  </si>
  <si>
    <t>Westminster [London] : Dacre press, [1945]</t>
  </si>
  <si>
    <t>1945</t>
  </si>
  <si>
    <t>1992-11-19</t>
  </si>
  <si>
    <t>580273:eng</t>
  </si>
  <si>
    <t>345841</t>
  </si>
  <si>
    <t>991002428489702656</t>
  </si>
  <si>
    <t>2272143560002656</t>
  </si>
  <si>
    <t>32285000835909</t>
  </si>
  <si>
    <t>893886261</t>
  </si>
  <si>
    <t>BV178 .O48 1990</t>
  </si>
  <si>
    <t>0                      BV 0178000O  48          1990</t>
  </si>
  <si>
    <t>Omnes circumadstantes : contributions towards a history of the role of the people in the liturgy : presented to Herman Wegman on the occasion of his retirement from the chair of history of liturgy and theology in the Katholieke Theologische Universiteit Utrecht / edited by Charles Caspers and Marc Schneiders.</t>
  </si>
  <si>
    <t>Kampen : J.H. Kok, 1990.</t>
  </si>
  <si>
    <t xml:space="preserve">ne </t>
  </si>
  <si>
    <t>1991-11-05</t>
  </si>
  <si>
    <t>908536361:eng</t>
  </si>
  <si>
    <t>22949936</t>
  </si>
  <si>
    <t>991001826219702656</t>
  </si>
  <si>
    <t>2267964250002656</t>
  </si>
  <si>
    <t>9789024254422</t>
  </si>
  <si>
    <t>32285000729557</t>
  </si>
  <si>
    <t>893439476</t>
  </si>
  <si>
    <t>BV178 .R35 1986</t>
  </si>
  <si>
    <t>0                      BV 0178000R  35          1986</t>
  </si>
  <si>
    <t>Christ in sacred speech : the meaning of liturgical language / Gail Ramshaw.</t>
  </si>
  <si>
    <t>Ramshaw, Gail, 1947-</t>
  </si>
  <si>
    <t>Philadelphia : Fortress Press, c1986.</t>
  </si>
  <si>
    <t>2004-10-11</t>
  </si>
  <si>
    <t>1995-07-23</t>
  </si>
  <si>
    <t>5839051:eng</t>
  </si>
  <si>
    <t>13093930</t>
  </si>
  <si>
    <t>991000779259702656</t>
  </si>
  <si>
    <t>2269855190002656</t>
  </si>
  <si>
    <t>9780800619077</t>
  </si>
  <si>
    <t>32285002075868</t>
  </si>
  <si>
    <t>893327583</t>
  </si>
  <si>
    <t>BV178 .R36 1988</t>
  </si>
  <si>
    <t>0                      BV 0178000R  36          1988</t>
  </si>
  <si>
    <t>Worship : searching for language / Gail Ramshaw.</t>
  </si>
  <si>
    <t>Washington, DC : Pastoral Press, c1988.</t>
  </si>
  <si>
    <t>2004-11-18</t>
  </si>
  <si>
    <t>1994-06-08</t>
  </si>
  <si>
    <t>16375029:eng</t>
  </si>
  <si>
    <t>18155174</t>
  </si>
  <si>
    <t>991001311619702656</t>
  </si>
  <si>
    <t>2264154360002656</t>
  </si>
  <si>
    <t>9780912405490</t>
  </si>
  <si>
    <t>32285001922243</t>
  </si>
  <si>
    <t>893334244</t>
  </si>
  <si>
    <t>BV178 .S3613 1988</t>
  </si>
  <si>
    <t>0                      BV 0178000S  3613        1988</t>
  </si>
  <si>
    <t>The relationship between the Church and the theatre : exemplified by selected writings of the Church fathers and by liturgical texts until Amalarius of Metz, 775-852 A. D. / Christine Catharina Schnusenberg.</t>
  </si>
  <si>
    <t>Schnusenberg, Christine.</t>
  </si>
  <si>
    <t>Lanham, MD : University Press of America, c1988.</t>
  </si>
  <si>
    <t>2005-10-11</t>
  </si>
  <si>
    <t>10792996183:eng</t>
  </si>
  <si>
    <t>14272760</t>
  </si>
  <si>
    <t>991000931679702656</t>
  </si>
  <si>
    <t>2261317900002656</t>
  </si>
  <si>
    <t>9780819157331</t>
  </si>
  <si>
    <t>32285000835933</t>
  </si>
  <si>
    <t>893803180</t>
  </si>
  <si>
    <t>BV185 .C33 1989</t>
  </si>
  <si>
    <t>0                      BV 0185000C  33          1989</t>
  </si>
  <si>
    <t>Pattern in early Christian worship / Allen Cabaniss.</t>
  </si>
  <si>
    <t>Cabaniss, Allen, 1911-1997.</t>
  </si>
  <si>
    <t>2010-04-12</t>
  </si>
  <si>
    <t>1990-01-30</t>
  </si>
  <si>
    <t>5419073:eng</t>
  </si>
  <si>
    <t>19266467</t>
  </si>
  <si>
    <t>991001443789702656</t>
  </si>
  <si>
    <t>2264476990002656</t>
  </si>
  <si>
    <t>9780865543454</t>
  </si>
  <si>
    <t>32285000036003</t>
  </si>
  <si>
    <t>893903422</t>
  </si>
  <si>
    <t>BV185 .D4 1967</t>
  </si>
  <si>
    <t>0                      BV 0185000D  4           1967</t>
  </si>
  <si>
    <t>Early sources of the liturgy / Translated by Benet Weatherhead.</t>
  </si>
  <si>
    <t>Deiss, Lucien.</t>
  </si>
  <si>
    <t>Staten Island, N.Y. : Alba House, [1967]</t>
  </si>
  <si>
    <t>1995-02-19</t>
  </si>
  <si>
    <t>4915389787:eng</t>
  </si>
  <si>
    <t>1129393</t>
  </si>
  <si>
    <t>991003559279702656</t>
  </si>
  <si>
    <t>2272367230002656</t>
  </si>
  <si>
    <t>32285000835982</t>
  </si>
  <si>
    <t>893428923</t>
  </si>
  <si>
    <t>BV185 .J8313 1965</t>
  </si>
  <si>
    <t>0                      BV 0185000J  8313        1965</t>
  </si>
  <si>
    <t>The place of Christ in liturgical prayer / [by] Joseph Jungmann. Translated by A. Peeler.</t>
  </si>
  <si>
    <t>Staten Island, N.Y. : Alba House, [c1965]</t>
  </si>
  <si>
    <t>2d rev. ed.</t>
  </si>
  <si>
    <t>2007-10-15</t>
  </si>
  <si>
    <t>23174260:eng</t>
  </si>
  <si>
    <t>1146537</t>
  </si>
  <si>
    <t>991003571379702656</t>
  </si>
  <si>
    <t>2261925130002656</t>
  </si>
  <si>
    <t>32285000836014</t>
  </si>
  <si>
    <t>893893862</t>
  </si>
  <si>
    <t>BV185 .L5 1982</t>
  </si>
  <si>
    <t>0                      BV 0185000L  5           1982</t>
  </si>
  <si>
    <t>The Liturgical portions of the Didascalia / translation and textual intro. by Sebastian Brock ; selection and general intro. by Michael Vasey.</t>
  </si>
  <si>
    <t>Bramcote, Nottingham : Grove Books, 1982.</t>
  </si>
  <si>
    <t>Grove liturgical study ; no. 29</t>
  </si>
  <si>
    <t>2000-09-18</t>
  </si>
  <si>
    <t>366745273:eng</t>
  </si>
  <si>
    <t>16596140</t>
  </si>
  <si>
    <t>991000314379702656</t>
  </si>
  <si>
    <t>2261677550002656</t>
  </si>
  <si>
    <t>9780907536192</t>
  </si>
  <si>
    <t>32285000836022</t>
  </si>
  <si>
    <t>893877941</t>
  </si>
  <si>
    <t>BV185 .O4 1965</t>
  </si>
  <si>
    <t>0                      BV 0185000O  4           1965</t>
  </si>
  <si>
    <t>The Jewish background of the Christian liturgy / by W. O. E. Oesterley.</t>
  </si>
  <si>
    <t>Oesterley, W. O. E. (William Oscar Emil), 1866-1950.</t>
  </si>
  <si>
    <t>Gloucester, Mass. : P. Smith, 1965.</t>
  </si>
  <si>
    <t>1993-07-29</t>
  </si>
  <si>
    <t>1670349:eng</t>
  </si>
  <si>
    <t>616881</t>
  </si>
  <si>
    <t>991003058989702656</t>
  </si>
  <si>
    <t>2269318180002656</t>
  </si>
  <si>
    <t>32285001704070</t>
  </si>
  <si>
    <t>893805388</t>
  </si>
  <si>
    <t>BV185 .P67 1967</t>
  </si>
  <si>
    <t>0                      BV 0185000P  67          1967</t>
  </si>
  <si>
    <t>The ordination prayers of the ancient western churches / H.B. Porter, Jr.</t>
  </si>
  <si>
    <t>London : S.P.C.K., 1967.</t>
  </si>
  <si>
    <t>Alcuin Club collections ; no. 49</t>
  </si>
  <si>
    <t>2001-07-17</t>
  </si>
  <si>
    <t>1991-11-25</t>
  </si>
  <si>
    <t>1679297:eng</t>
  </si>
  <si>
    <t>772909</t>
  </si>
  <si>
    <t>991003248159702656</t>
  </si>
  <si>
    <t>2264438020002656</t>
  </si>
  <si>
    <t>32285000836048</t>
  </si>
  <si>
    <t>893323914</t>
  </si>
  <si>
    <t>BV199.G39 E68 1995</t>
  </si>
  <si>
    <t>0                      BV 0199000G  39                 E  68          1995</t>
  </si>
  <si>
    <t>Equal rites : lesbian and gay worship, ceremonies, and celebrations / editors, Kittredge Cherry, Zalmon Sherwood.</t>
  </si>
  <si>
    <t>Louisville, Ky. : Westminster/John Knox Press, c1995.</t>
  </si>
  <si>
    <t>2002-09-18</t>
  </si>
  <si>
    <t>1996-06-26</t>
  </si>
  <si>
    <t>799952144:eng</t>
  </si>
  <si>
    <t>30703600</t>
  </si>
  <si>
    <t>991002361769702656</t>
  </si>
  <si>
    <t>2258406860002656</t>
  </si>
  <si>
    <t>9780664255350</t>
  </si>
  <si>
    <t>32285002174034</t>
  </si>
  <si>
    <t>893510639</t>
  </si>
  <si>
    <t>BV205 .W66 1969</t>
  </si>
  <si>
    <t>0                      BV 0205000W  66          1969</t>
  </si>
  <si>
    <t>Springs of devotion : inspiring writings about the meaning and joy of prayer / selected by Arthur Wortman ; Illustrated by William Gilmore.</t>
  </si>
  <si>
    <t>Wortman, Arthur, compiler.</t>
  </si>
  <si>
    <t>[Kansas City, Mo.] : Hallmark Editions, [1969]</t>
  </si>
  <si>
    <t>3855258599:eng</t>
  </si>
  <si>
    <t>106663</t>
  </si>
  <si>
    <t>991004530049702656</t>
  </si>
  <si>
    <t>2263758420002656</t>
  </si>
  <si>
    <t>9780875290096</t>
  </si>
  <si>
    <t>32285005030605</t>
  </si>
  <si>
    <t>893259825</t>
  </si>
  <si>
    <t>BV2060 .L4315</t>
  </si>
  <si>
    <t>0                      BV 2060000L  4315</t>
  </si>
  <si>
    <t>Supplementary series ... / Orville A. Petty, editor.</t>
  </si>
  <si>
    <t>V.3</t>
  </si>
  <si>
    <t>Laymen's Foreign Missions Inquiry.</t>
  </si>
  <si>
    <t>New York ; London : Harper &amp; Brothers, 1933.</t>
  </si>
  <si>
    <t>1933</t>
  </si>
  <si>
    <t>2000-05-23</t>
  </si>
  <si>
    <t>2416772:eng</t>
  </si>
  <si>
    <t>1494281</t>
  </si>
  <si>
    <t>991005372259702656</t>
  </si>
  <si>
    <t>2266142350002656</t>
  </si>
  <si>
    <t>32285000927367</t>
  </si>
  <si>
    <t>893236733</t>
  </si>
  <si>
    <t>V.2</t>
  </si>
  <si>
    <t>32285000927359</t>
  </si>
  <si>
    <t>893230604</t>
  </si>
  <si>
    <t>V.5</t>
  </si>
  <si>
    <t>32285000927383</t>
  </si>
  <si>
    <t>893230602</t>
  </si>
  <si>
    <t>V.7</t>
  </si>
  <si>
    <t>32285000927409</t>
  </si>
  <si>
    <t>893230601</t>
  </si>
  <si>
    <t>V.6</t>
  </si>
  <si>
    <t>32285000927391</t>
  </si>
  <si>
    <t>893254922</t>
  </si>
  <si>
    <t>V.4</t>
  </si>
  <si>
    <t>32285000927375</t>
  </si>
  <si>
    <t>893230603</t>
  </si>
  <si>
    <t>V.1</t>
  </si>
  <si>
    <t>32285000927342</t>
  </si>
  <si>
    <t>893242653</t>
  </si>
  <si>
    <t>BV2060 .M27</t>
  </si>
  <si>
    <t>0                      BV 2060000M  27</t>
  </si>
  <si>
    <t>The bridges of God : a study in the strategy of missions / by Donald Anderson McGavran.</t>
  </si>
  <si>
    <t>McGavran, Donald A. (Donald Anderson), 1897-1990.</t>
  </si>
  <si>
    <t>New York, Distributed by Friendship Press [1955]</t>
  </si>
  <si>
    <t>1955</t>
  </si>
  <si>
    <t>2009-11-03</t>
  </si>
  <si>
    <t>889450972:eng</t>
  </si>
  <si>
    <t>2845374</t>
  </si>
  <si>
    <t>991004261299702656</t>
  </si>
  <si>
    <t>2260880470002656</t>
  </si>
  <si>
    <t>32285000927417</t>
  </si>
  <si>
    <t>893775826</t>
  </si>
  <si>
    <t>BV2061 .M26</t>
  </si>
  <si>
    <t>0                      BV 2061000M  26</t>
  </si>
  <si>
    <t>The new missionary church / edited with an introduction by Frederick A, McGuire.</t>
  </si>
  <si>
    <t>McGuire, Frederick A., 1905-, editor.</t>
  </si>
  <si>
    <t>Baltimore, Helicon [1964]</t>
  </si>
  <si>
    <t>2003-11-01</t>
  </si>
  <si>
    <t>10172012669:eng</t>
  </si>
  <si>
    <t>2712571</t>
  </si>
  <si>
    <t>991004221009702656</t>
  </si>
  <si>
    <t>2267334900002656</t>
  </si>
  <si>
    <t>32285000927441</t>
  </si>
  <si>
    <t>893506573</t>
  </si>
  <si>
    <t>BV2061 .R424 1976</t>
  </si>
  <si>
    <t>0                      BV 2061000R  424         1976</t>
  </si>
  <si>
    <t>Spirituality for mission : historical, theological, and cultural factors for a present-day missionary spirituality / Michael Collins Reilly.</t>
  </si>
  <si>
    <t>Reilly, Michael Collins.</t>
  </si>
  <si>
    <t>Manila : Loyola School of Theology, c1976.</t>
  </si>
  <si>
    <t xml:space="preserve">ph </t>
  </si>
  <si>
    <t>Logos ; 12</t>
  </si>
  <si>
    <t>1995-09-06</t>
  </si>
  <si>
    <t>1990-04-09</t>
  </si>
  <si>
    <t>6834788:eng</t>
  </si>
  <si>
    <t>3980543</t>
  </si>
  <si>
    <t>991004558309702656</t>
  </si>
  <si>
    <t>2271934430002656</t>
  </si>
  <si>
    <t>32285000113836</t>
  </si>
  <si>
    <t>893235654</t>
  </si>
  <si>
    <t>BV2063 .C367 1985</t>
  </si>
  <si>
    <t>0                      BV 2063000C  367         1985</t>
  </si>
  <si>
    <t>Sent free : mission and unity in the perspective of the kingdom / Emilio Castro.</t>
  </si>
  <si>
    <t>Castro, Emilio.</t>
  </si>
  <si>
    <t>Grand Rapids, Mich. : Eerdmans, 1985.</t>
  </si>
  <si>
    <t>American ed.</t>
  </si>
  <si>
    <t>889791343:eng</t>
  </si>
  <si>
    <t>11622941</t>
  </si>
  <si>
    <t>991000567219702656</t>
  </si>
  <si>
    <t>2260751310002656</t>
  </si>
  <si>
    <t>9780802800688</t>
  </si>
  <si>
    <t>32285000927458</t>
  </si>
  <si>
    <t>893231215</t>
  </si>
  <si>
    <t>BV2063 .D85</t>
  </si>
  <si>
    <t>0                      BV 2063000D  85</t>
  </si>
  <si>
    <t>Missionary theology : foundations in development / Edmond J. Dunn ; foreword by Richard P. McBrien.</t>
  </si>
  <si>
    <t>Dunn, Edmond J.</t>
  </si>
  <si>
    <t>Lanham, MD : University Press of America, c1980.</t>
  </si>
  <si>
    <t>3857006535:eng</t>
  </si>
  <si>
    <t>6627885</t>
  </si>
  <si>
    <t>991005017629702656</t>
  </si>
  <si>
    <t>2255081920002656</t>
  </si>
  <si>
    <t>9780819112095</t>
  </si>
  <si>
    <t>32285000927466</t>
  </si>
  <si>
    <t>893789316</t>
  </si>
  <si>
    <t>BV2063 .H45 1985</t>
  </si>
  <si>
    <t>0                      BV 2063000H  45          1985</t>
  </si>
  <si>
    <t>Anthropological insights for missionaries / Paul G. Hiebert.</t>
  </si>
  <si>
    <t>Hiebert, Paul G., 1932-</t>
  </si>
  <si>
    <t>Grand Rapids, Mich. : Baker Book House, c1985.</t>
  </si>
  <si>
    <t>2003-06-25</t>
  </si>
  <si>
    <t>5864081:eng</t>
  </si>
  <si>
    <t>12996201</t>
  </si>
  <si>
    <t>991000765599702656</t>
  </si>
  <si>
    <t>2266398330002656</t>
  </si>
  <si>
    <t>9780801042911</t>
  </si>
  <si>
    <t>32285000927474</t>
  </si>
  <si>
    <t>893808808</t>
  </si>
  <si>
    <t>BV2063 .H48 1965</t>
  </si>
  <si>
    <t>0                      BV 2063000H  48          1965</t>
  </si>
  <si>
    <t>The Church as mission / by Eugene Hillman.</t>
  </si>
  <si>
    <t>Hillman, Eugene.</t>
  </si>
  <si>
    <t>[New York] : Herder and Herder, [1965]</t>
  </si>
  <si>
    <t>1996-07-18</t>
  </si>
  <si>
    <t>2543785:eng</t>
  </si>
  <si>
    <t>1805450</t>
  </si>
  <si>
    <t>991003894329702656</t>
  </si>
  <si>
    <t>2269696820002656</t>
  </si>
  <si>
    <t>32285000927482</t>
  </si>
  <si>
    <t>893525389</t>
  </si>
  <si>
    <t>BV2063 .K76 1991</t>
  </si>
  <si>
    <t>0                      BV 2063000K  76          1991</t>
  </si>
  <si>
    <t>Mission today : contemporary themes in missiology / James H. Kroeger.</t>
  </si>
  <si>
    <t>Kroeger, James H.</t>
  </si>
  <si>
    <t>Davao City, Philippines : Federation of Asian Bishops' Conferences and Mission Studies Institute, [1991]</t>
  </si>
  <si>
    <t>FABC ; no 61</t>
  </si>
  <si>
    <t>1999-08-26</t>
  </si>
  <si>
    <t>1993-09-02</t>
  </si>
  <si>
    <t>347239496:eng</t>
  </si>
  <si>
    <t>24958797</t>
  </si>
  <si>
    <t>991001969499702656</t>
  </si>
  <si>
    <t>2264860420002656</t>
  </si>
  <si>
    <t>32285001729697</t>
  </si>
  <si>
    <t>893891992</t>
  </si>
  <si>
    <t>BV2063 .T34 1999</t>
  </si>
  <si>
    <t>0                      BV 2063000T  34          1999</t>
  </si>
  <si>
    <t>The common task : a theology of Christian mission / M. Thomas Thangaraj.</t>
  </si>
  <si>
    <t>Thangaraj, M. Thomas (Melchizedec Thomas)</t>
  </si>
  <si>
    <t>Nashville : Abingdon Press, c1999.</t>
  </si>
  <si>
    <t>1999-11-04</t>
  </si>
  <si>
    <t>20489400:eng</t>
  </si>
  <si>
    <t>39786261</t>
  </si>
  <si>
    <t>991002971129702656</t>
  </si>
  <si>
    <t>2270197360002656</t>
  </si>
  <si>
    <t>9780687001446</t>
  </si>
  <si>
    <t>32285003618054</t>
  </si>
  <si>
    <t>893335975</t>
  </si>
  <si>
    <t>BV2070 .N48</t>
  </si>
  <si>
    <t>0                      BV 2070000N  48</t>
  </si>
  <si>
    <t>A New missionary era / edited by Padraig Flanagan.</t>
  </si>
  <si>
    <t>Maryknoll, N.Y. : Orbis Books, 1982, c1979.</t>
  </si>
  <si>
    <t>Abridged U.S. ed.</t>
  </si>
  <si>
    <t>2000-08-02</t>
  </si>
  <si>
    <t>1996-11-11</t>
  </si>
  <si>
    <t>54446852:eng</t>
  </si>
  <si>
    <t>7553425</t>
  </si>
  <si>
    <t>991005125669702656</t>
  </si>
  <si>
    <t>2262777770002656</t>
  </si>
  <si>
    <t>9780883443316</t>
  </si>
  <si>
    <t>32285002121910</t>
  </si>
  <si>
    <t>893242251</t>
  </si>
  <si>
    <t>BV2073 .C433 1960</t>
  </si>
  <si>
    <t>0                      BV 2073000C  433         1960</t>
  </si>
  <si>
    <t>Apostle and apostolate : according to the Gospel of St. Mathew / by Lucien Cerfaux. Translated by Donald D.Duggan.</t>
  </si>
  <si>
    <t>Cerfaux, Lucien, 1883-1968.</t>
  </si>
  <si>
    <t>New York : Desclee Co., 1960.</t>
  </si>
  <si>
    <t>1960</t>
  </si>
  <si>
    <t>1998-04-09</t>
  </si>
  <si>
    <t>1992-02-06</t>
  </si>
  <si>
    <t>133291653:eng</t>
  </si>
  <si>
    <t>392174</t>
  </si>
  <si>
    <t>991002663209702656</t>
  </si>
  <si>
    <t>2263554930002656</t>
  </si>
  <si>
    <t>32285000927532</t>
  </si>
  <si>
    <t>893691853</t>
  </si>
  <si>
    <t>BV2073 .L27 1999</t>
  </si>
  <si>
    <t>0                      BV 2073000L  27          1999</t>
  </si>
  <si>
    <t>The earliest Christian mission to "all nations" : in the light of Matthew's Gospel / James LaGrand.</t>
  </si>
  <si>
    <t>LaGrand, James.</t>
  </si>
  <si>
    <t>Grand Rapids, MI : W.B. Eerdmans Pub. Co., 1999.</t>
  </si>
  <si>
    <t>1999-11-11</t>
  </si>
  <si>
    <t>10792229042:eng</t>
  </si>
  <si>
    <t>41108621</t>
  </si>
  <si>
    <t>991003019509702656</t>
  </si>
  <si>
    <t>2259791900002656</t>
  </si>
  <si>
    <t>9780802846532</t>
  </si>
  <si>
    <t>32285003620852</t>
  </si>
  <si>
    <t>893717230</t>
  </si>
  <si>
    <t>BV2087 .M313 1963</t>
  </si>
  <si>
    <t>0                      BV 2087000M  313         1963</t>
  </si>
  <si>
    <t>Mission to mankind / edited and with an introduction by Frederick A. McGuire.</t>
  </si>
  <si>
    <t>New York : Random House, [1963]</t>
  </si>
  <si>
    <t>2005-04-30</t>
  </si>
  <si>
    <t>2297241:eng</t>
  </si>
  <si>
    <t>1424973</t>
  </si>
  <si>
    <t>991003750079702656</t>
  </si>
  <si>
    <t>2271849160002656</t>
  </si>
  <si>
    <t>32285000927557</t>
  </si>
  <si>
    <t>893693108</t>
  </si>
  <si>
    <t>BV209 .S9 1987</t>
  </si>
  <si>
    <t>0                      BV 0209000S  9           1987</t>
  </si>
  <si>
    <t>The Syriac fathers on prayer and the spiritual life / introduced and translated by Sebastian Brock.</t>
  </si>
  <si>
    <t>Kalamazoo, Mich. : Cistercian Publications, c1987.</t>
  </si>
  <si>
    <t>CS ; 101</t>
  </si>
  <si>
    <t>2002-06-12</t>
  </si>
  <si>
    <t>1990-06-13</t>
  </si>
  <si>
    <t>54927882:eng</t>
  </si>
  <si>
    <t>15318114</t>
  </si>
  <si>
    <t>991001016849702656</t>
  </si>
  <si>
    <t>2258894640002656</t>
  </si>
  <si>
    <t>9780879079017</t>
  </si>
  <si>
    <t>32285000177484</t>
  </si>
  <si>
    <t>893589949</t>
  </si>
  <si>
    <t>BV209.B7 C33 1949</t>
  </si>
  <si>
    <t>0                      BV 0209000B  7                  C  33          1949</t>
  </si>
  <si>
    <t>On prayer : spiritual instructions on the various states of prayer according to the doctrine of Bossuet, Bishop of Meaux / by Jean Pierre de Caussade ; translated into English by Algar Thorold ; with an introduction by Abbot John Chapman ; and a preface by Ludovic de Besse.</t>
  </si>
  <si>
    <t>Caussade, Jean Pierre de, -1751.</t>
  </si>
  <si>
    <t>London : Burns &amp; Oates, 1949.</t>
  </si>
  <si>
    <t>1949</t>
  </si>
  <si>
    <t>2003-05-19</t>
  </si>
  <si>
    <t>47096273:eng</t>
  </si>
  <si>
    <t>2611836</t>
  </si>
  <si>
    <t>991004183529702656</t>
  </si>
  <si>
    <t>2272744810002656</t>
  </si>
  <si>
    <t>32285000836196</t>
  </si>
  <si>
    <t>893900923</t>
  </si>
  <si>
    <t>BV2090 .T45 2001</t>
  </si>
  <si>
    <t>0                      BV 2090000T  45          2001</t>
  </si>
  <si>
    <t>Telling God's story : National Mission Congress 2000, resources and documents / Episcopal Commission on Mission, Catholic Bishops' Conference of the Philippines ; James H. Kroeger, general editor.</t>
  </si>
  <si>
    <t>Quezon City, Philippines : Claretian Publications, c2001.</t>
  </si>
  <si>
    <t>2001-06-19</t>
  </si>
  <si>
    <t>36518666:eng</t>
  </si>
  <si>
    <t>47093440</t>
  </si>
  <si>
    <t>991003545359702656</t>
  </si>
  <si>
    <t>2271864220002656</t>
  </si>
  <si>
    <t>9789715018913</t>
  </si>
  <si>
    <t>32285004325535</t>
  </si>
  <si>
    <t>893416494</t>
  </si>
  <si>
    <t>BV2090 .T452 2000</t>
  </si>
  <si>
    <t>0                      BV 2090000T  452         2000</t>
  </si>
  <si>
    <t>Tell the world : catechetical modules for mission animation / Episcopal Commission on Mission, Catholic Bishops' Conference of the Philippines ; [general editor, James H. Kroeger]</t>
  </si>
  <si>
    <t>Quezon City, Philippines : Claretian Publications, c2000.</t>
  </si>
  <si>
    <t>9093741704:eng</t>
  </si>
  <si>
    <t>47093462</t>
  </si>
  <si>
    <t>991003545329702656</t>
  </si>
  <si>
    <t>2271831450002656</t>
  </si>
  <si>
    <t>9789715018722</t>
  </si>
  <si>
    <t>32285004325485</t>
  </si>
  <si>
    <t>893592610</t>
  </si>
  <si>
    <t>BV210 .C6883 1962</t>
  </si>
  <si>
    <t>0                      BV 0210000C  6883        1962</t>
  </si>
  <si>
    <t>The meaning of prayer / Louis Colin. Translated by Francis X. Moan.</t>
  </si>
  <si>
    <t>Colin, L. (Louis), 1884-</t>
  </si>
  <si>
    <t>Westminster, Md. : Newman Press, 1962.</t>
  </si>
  <si>
    <t>2003-07-29</t>
  </si>
  <si>
    <t>1991-12-13</t>
  </si>
  <si>
    <t>294070440:eng</t>
  </si>
  <si>
    <t>2504481</t>
  </si>
  <si>
    <t>991004143209702656</t>
  </si>
  <si>
    <t>2258732880002656</t>
  </si>
  <si>
    <t>32285000895457</t>
  </si>
  <si>
    <t>893722290</t>
  </si>
  <si>
    <t>BV210 .G6963 1952</t>
  </si>
  <si>
    <t>0                      BV 0210000G  6963        1952</t>
  </si>
  <si>
    <t>Lord, teach us how to pray / translated from the German of Richard Gräf by Sister Mary Hildegard Windecker.</t>
  </si>
  <si>
    <t>Gräf, Richard, 1899-</t>
  </si>
  <si>
    <t>New York : F. Pustet Co., 1952.</t>
  </si>
  <si>
    <t>25275626:eng</t>
  </si>
  <si>
    <t>6998953</t>
  </si>
  <si>
    <t>991005069359702656</t>
  </si>
  <si>
    <t>2270614780002656</t>
  </si>
  <si>
    <t>32285000836212</t>
  </si>
  <si>
    <t>893895800</t>
  </si>
  <si>
    <t>BV210 .G813 1957</t>
  </si>
  <si>
    <t>0                      BV 0210000G  813         1957</t>
  </si>
  <si>
    <t>Prayer in practice / Romano Guardini ; translated from the German by Prince Leopold of Loewenstein-Wertheim.</t>
  </si>
  <si>
    <t>Guardini, Romano, 1885-1968.</t>
  </si>
  <si>
    <t>New York : Pantheon Books, c1957.</t>
  </si>
  <si>
    <t>1957</t>
  </si>
  <si>
    <t>2009-08-11</t>
  </si>
  <si>
    <t>2149465:eng</t>
  </si>
  <si>
    <t>2049598</t>
  </si>
  <si>
    <t>991003992389702656</t>
  </si>
  <si>
    <t>2265414840002656</t>
  </si>
  <si>
    <t>32285000836220</t>
  </si>
  <si>
    <t>893512662</t>
  </si>
  <si>
    <t>BV210 .H38</t>
  </si>
  <si>
    <t>0                      BV 0210000H  38</t>
  </si>
  <si>
    <t>Prayer : a study in the history and psychology of religion / by Friedrich Heiler ; translated and edited by Samuel McComb ; with the assistance of J. Edgar Park.</t>
  </si>
  <si>
    <t>Heiler, Friedrich, 1892-1967.</t>
  </si>
  <si>
    <t>London, New York [etc.] Oxford University Press [c1932]</t>
  </si>
  <si>
    <t>1932</t>
  </si>
  <si>
    <t>1995-03-14</t>
  </si>
  <si>
    <t>3901112884:eng</t>
  </si>
  <si>
    <t>794760</t>
  </si>
  <si>
    <t>991003268689702656</t>
  </si>
  <si>
    <t>2263785880002656</t>
  </si>
  <si>
    <t>32285000895465</t>
  </si>
  <si>
    <t>893342402</t>
  </si>
  <si>
    <t>BV210 .L4 1940</t>
  </si>
  <si>
    <t>0                      BV 0210000L  4           1940</t>
  </si>
  <si>
    <t>Progress through mental prayer / by Rev. Edward Leen.</t>
  </si>
  <si>
    <t>Leen, Edward, 1885-1944.</t>
  </si>
  <si>
    <t>New York : Sheed &amp; Ward, 1940.</t>
  </si>
  <si>
    <t>1940</t>
  </si>
  <si>
    <t>1995-01-29</t>
  </si>
  <si>
    <t>1839537:eng</t>
  </si>
  <si>
    <t>8841012</t>
  </si>
  <si>
    <t>991000081539702656</t>
  </si>
  <si>
    <t>2258533410002656</t>
  </si>
  <si>
    <t>32285000836253</t>
  </si>
  <si>
    <t>893534033</t>
  </si>
  <si>
    <t>BV210 .M287 1934</t>
  </si>
  <si>
    <t>0                      BV 0210000M  287         1934</t>
  </si>
  <si>
    <t>A primer of prayer / by Joseph McSorley.</t>
  </si>
  <si>
    <t>McSorley, Joseph, 1874-1963.</t>
  </si>
  <si>
    <t>London ; New York [etc.] : Longmans, Green, and co., 1934.</t>
  </si>
  <si>
    <t>1934</t>
  </si>
  <si>
    <t>1999-05-08</t>
  </si>
  <si>
    <t>1446020:eng</t>
  </si>
  <si>
    <t>370786</t>
  </si>
  <si>
    <t>991002554069702656</t>
  </si>
  <si>
    <t>2259938610002656</t>
  </si>
  <si>
    <t>32285000836261</t>
  </si>
  <si>
    <t>893523754</t>
  </si>
  <si>
    <t>BV210 .P47 1951</t>
  </si>
  <si>
    <t>0                      BV 0210000P  47          1951</t>
  </si>
  <si>
    <t>The ear of God / Patrick J. Peyton.</t>
  </si>
  <si>
    <t>Peyton, Patrick, 1909-1992.</t>
  </si>
  <si>
    <t>Garden City, N.Y. : Doubleday, 1951.</t>
  </si>
  <si>
    <t>1951</t>
  </si>
  <si>
    <t>1992-09-11</t>
  </si>
  <si>
    <t>2058288:eng</t>
  </si>
  <si>
    <t>1138526</t>
  </si>
  <si>
    <t>991003566059702656</t>
  </si>
  <si>
    <t>2270410770002656</t>
  </si>
  <si>
    <t>32285000836303</t>
  </si>
  <si>
    <t>893781136</t>
  </si>
  <si>
    <t>BV210 .V33 1958</t>
  </si>
  <si>
    <t>0                      BV 0210000V  33          1958</t>
  </si>
  <si>
    <t>Approach to prayer / by Hubert Van Zeller.</t>
  </si>
  <si>
    <t>Van Zeller, Hubert, 1905-1984.</t>
  </si>
  <si>
    <t>London ; New York : Sheed and Ward, [1958]</t>
  </si>
  <si>
    <t>1996-11-20</t>
  </si>
  <si>
    <t>148344820:eng</t>
  </si>
  <si>
    <t>1624531</t>
  </si>
  <si>
    <t>991003844219702656</t>
  </si>
  <si>
    <t>2267653110002656</t>
  </si>
  <si>
    <t>32285000836311</t>
  </si>
  <si>
    <t>893258944</t>
  </si>
  <si>
    <t>BV210.2 .B62 1971</t>
  </si>
  <si>
    <t>0                      BV 0210200B  62          1971</t>
  </si>
  <si>
    <t>What a modern Catholic believes about prayer / by James Bowman.</t>
  </si>
  <si>
    <t>Bowman, James.</t>
  </si>
  <si>
    <t>Chicago : Thomas More Press, [c1971]</t>
  </si>
  <si>
    <t>1999-11-27</t>
  </si>
  <si>
    <t>2159488:eng</t>
  </si>
  <si>
    <t>1197485</t>
  </si>
  <si>
    <t>991003614519702656</t>
  </si>
  <si>
    <t>2268714010002656</t>
  </si>
  <si>
    <t>32285000836352</t>
  </si>
  <si>
    <t>893900174</t>
  </si>
  <si>
    <t>BV210.2 .B63 1962</t>
  </si>
  <si>
    <t>0                      BV 0210200B  63          1962</t>
  </si>
  <si>
    <t>The prayer of faith / by Leonard Boase.</t>
  </si>
  <si>
    <t>Boase, Leonard.</t>
  </si>
  <si>
    <t>St. Louis : B. Herder Book Co., [1962]</t>
  </si>
  <si>
    <t>2005-04-29</t>
  </si>
  <si>
    <t>1915755:eng</t>
  </si>
  <si>
    <t>963095</t>
  </si>
  <si>
    <t>991003422339702656</t>
  </si>
  <si>
    <t>2260061210002656</t>
  </si>
  <si>
    <t>32285000836360</t>
  </si>
  <si>
    <t>893258404</t>
  </si>
  <si>
    <t>BV210.2 .B65 1966b</t>
  </si>
  <si>
    <t>0                      BV 0210200B  65          1966b</t>
  </si>
  <si>
    <t>Living prayer / by Anthony Bloom.</t>
  </si>
  <si>
    <t>Bloom, Anthony, 1914-2003.</t>
  </si>
  <si>
    <t>Springfield, Ill. : Templegate, [c1966]</t>
  </si>
  <si>
    <t>52414323:eng</t>
  </si>
  <si>
    <t>186395</t>
  </si>
  <si>
    <t>991001161189702656</t>
  </si>
  <si>
    <t>2269450520002656</t>
  </si>
  <si>
    <t>32285000836378</t>
  </si>
  <si>
    <t>893243911</t>
  </si>
  <si>
    <t>BV210.2 .B6513 1976</t>
  </si>
  <si>
    <t>0                      BV 0210200B  6513        1976</t>
  </si>
  <si>
    <t>Christian prayer / Ladislaus Boros ; translated by David Smith.</t>
  </si>
  <si>
    <t>Boros, Ladislaus, 1927-1981.</t>
  </si>
  <si>
    <t>2001-04-08</t>
  </si>
  <si>
    <t>58208319:eng</t>
  </si>
  <si>
    <t>2119363</t>
  </si>
  <si>
    <t>991004018819702656</t>
  </si>
  <si>
    <t>2267953720002656</t>
  </si>
  <si>
    <t>9780816411993</t>
  </si>
  <si>
    <t>32285000836394</t>
  </si>
  <si>
    <t>893881950</t>
  </si>
  <si>
    <t>BV210.2 .B84 1983</t>
  </si>
  <si>
    <t>0                      BV 0210200B  84          1983</t>
  </si>
  <si>
    <t>Prayer : an adventure in living / by B.C. Butler.</t>
  </si>
  <si>
    <t>Butler, B. C. (Basil Christopher)</t>
  </si>
  <si>
    <t>Wilmington, Del. : M. Glazier, 1983.</t>
  </si>
  <si>
    <t>deu</t>
  </si>
  <si>
    <t>Ways of prayer series ; v. 10</t>
  </si>
  <si>
    <t>1992-12-01</t>
  </si>
  <si>
    <t>4268917:eng</t>
  </si>
  <si>
    <t>10165264</t>
  </si>
  <si>
    <t>991000325339702656</t>
  </si>
  <si>
    <t>2262369900002656</t>
  </si>
  <si>
    <t>9780894532825</t>
  </si>
  <si>
    <t>32285001434330</t>
  </si>
  <si>
    <t>893431867</t>
  </si>
  <si>
    <t>BV210.2 .C36 1974</t>
  </si>
  <si>
    <t>0                      BV 0210200C  36          1974</t>
  </si>
  <si>
    <t>Prayer is love / by Edward Carter.</t>
  </si>
  <si>
    <t>Carter, Edward, 1929-</t>
  </si>
  <si>
    <t>St. Meinrad, Ind. : Abbey Press, 1974.</t>
  </si>
  <si>
    <t>A Priority edition</t>
  </si>
  <si>
    <t>1992-06-29</t>
  </si>
  <si>
    <t>1949364:eng</t>
  </si>
  <si>
    <t>1021481</t>
  </si>
  <si>
    <t>991003476529702656</t>
  </si>
  <si>
    <t>2271066300002656</t>
  </si>
  <si>
    <t>9780870290305</t>
  </si>
  <si>
    <t>32285004806245</t>
  </si>
  <si>
    <t>893623524</t>
  </si>
  <si>
    <t>BV210.2 .C47 1984</t>
  </si>
  <si>
    <t>0                      BV 0210200C  47          1984</t>
  </si>
  <si>
    <t>Behind closed doors : a handbook on how to pray / Joseph M. Champlin.</t>
  </si>
  <si>
    <t>Champlin, Joseph M.</t>
  </si>
  <si>
    <t>New York : Paulist Press, c1984.</t>
  </si>
  <si>
    <t>4421501:eng</t>
  </si>
  <si>
    <t>11815569</t>
  </si>
  <si>
    <t>991000598149702656</t>
  </si>
  <si>
    <t>2261813650002656</t>
  </si>
  <si>
    <t>9780809126378</t>
  </si>
  <si>
    <t>32285000836444</t>
  </si>
  <si>
    <t>893413506</t>
  </si>
  <si>
    <t>BV210.2 .C63 2001</t>
  </si>
  <si>
    <t>0                      BV 0210200C  63          2001</t>
  </si>
  <si>
    <t>Prayer in practice : a biblical approach / Pat Collins.</t>
  </si>
  <si>
    <t>Collins, Pat.</t>
  </si>
  <si>
    <t>Maryknoll, N.Y. : Orbis Books 2001.</t>
  </si>
  <si>
    <t>2007-07-15</t>
  </si>
  <si>
    <t>2001-05-01</t>
  </si>
  <si>
    <t>35903719:eng</t>
  </si>
  <si>
    <t>44650829</t>
  </si>
  <si>
    <t>991003530969702656</t>
  </si>
  <si>
    <t>2266819670002656</t>
  </si>
  <si>
    <t>9781570753534</t>
  </si>
  <si>
    <t>32285004315593</t>
  </si>
  <si>
    <t>893604884</t>
  </si>
  <si>
    <t>BV210.2 .D35 1982</t>
  </si>
  <si>
    <t>0                      BV 0210200D  35          1982</t>
  </si>
  <si>
    <t>Asking the father : a study of the prayer of petition / by Gabriel Daly.</t>
  </si>
  <si>
    <t>Daly, Gabriel.</t>
  </si>
  <si>
    <t>Wilmington, Del. : Michael Glazier, 1982.</t>
  </si>
  <si>
    <t>Ways of prayer series ; v. 4</t>
  </si>
  <si>
    <t>2075439580:eng</t>
  </si>
  <si>
    <t>9369570</t>
  </si>
  <si>
    <t>991000178229702656</t>
  </si>
  <si>
    <t>2258984340002656</t>
  </si>
  <si>
    <t>9780894532771</t>
  </si>
  <si>
    <t>32285000836451</t>
  </si>
  <si>
    <t>893333277</t>
  </si>
  <si>
    <t>BV210.2 .E33 1975b</t>
  </si>
  <si>
    <t>0                      BV 0210200E  33          1975b</t>
  </si>
  <si>
    <t>Yes to God / Alan Ecclestone. --</t>
  </si>
  <si>
    <t>Ecclestone, Alan.</t>
  </si>
  <si>
    <t>London : Darton, Longman &amp; Todd, 1975.</t>
  </si>
  <si>
    <t>1995-07-13</t>
  </si>
  <si>
    <t>2488795:eng</t>
  </si>
  <si>
    <t>1668333</t>
  </si>
  <si>
    <t>991003861839702656</t>
  </si>
  <si>
    <t>2269550590002656</t>
  </si>
  <si>
    <t>9780232512991</t>
  </si>
  <si>
    <t>32285000836485</t>
  </si>
  <si>
    <t>893617879</t>
  </si>
  <si>
    <t>BV210.2 .E43</t>
  </si>
  <si>
    <t>0                      BV 0210200E  43</t>
  </si>
  <si>
    <t>Prayer and modern man / Jacques Ellul. Translated by C. Edward Hopkin.</t>
  </si>
  <si>
    <t>Ellul, Jacques, 1912-1994.</t>
  </si>
  <si>
    <t>New York, Seabury Press [1970]</t>
  </si>
  <si>
    <t>1999-11-02</t>
  </si>
  <si>
    <t>2863468972:eng</t>
  </si>
  <si>
    <t>116190</t>
  </si>
  <si>
    <t>991000657619702656</t>
  </si>
  <si>
    <t>2260422330002656</t>
  </si>
  <si>
    <t>32285000836493</t>
  </si>
  <si>
    <t>893419661</t>
  </si>
  <si>
    <t>BV210.2 .E8813 1970</t>
  </si>
  <si>
    <t>0                      BV 0210200E  8813        1970</t>
  </si>
  <si>
    <t>Our prayer / by Louis Evely. [Translated by Paul Burns.</t>
  </si>
  <si>
    <t>Évely, Louis, 1910-1985.</t>
  </si>
  <si>
    <t>New York] : Herder and Herder, [1970]</t>
  </si>
  <si>
    <t>1992-03-28</t>
  </si>
  <si>
    <t>9349344185:eng</t>
  </si>
  <si>
    <t>95637</t>
  </si>
  <si>
    <t>991000581389702656</t>
  </si>
  <si>
    <t>2272320210002656</t>
  </si>
  <si>
    <t>32285000836527</t>
  </si>
  <si>
    <t>893339688</t>
  </si>
  <si>
    <t>BV210.2 .E9 1967</t>
  </si>
  <si>
    <t>0                      BV 0210200E  9           1967</t>
  </si>
  <si>
    <t>Teach us how to pray / Louis Evely. Translated by Edmond Bonin.</t>
  </si>
  <si>
    <t>Westminster, Md. : Newman Press, [1967]</t>
  </si>
  <si>
    <t>29158823:eng</t>
  </si>
  <si>
    <t>1652596</t>
  </si>
  <si>
    <t>991003855339702656</t>
  </si>
  <si>
    <t>2271716240002656</t>
  </si>
  <si>
    <t>32285000836535</t>
  </si>
  <si>
    <t>893499791</t>
  </si>
  <si>
    <t>BV210.2 .F3 1972</t>
  </si>
  <si>
    <t>0                      BV 0210200F  3           1972</t>
  </si>
  <si>
    <t>Prayer is a hunger / by Edward J. Farrell.</t>
  </si>
  <si>
    <t>Farrell, Edward J.</t>
  </si>
  <si>
    <t>Denville, N.J. : Dimension Books, [1972]</t>
  </si>
  <si>
    <t>1972</t>
  </si>
  <si>
    <t>1998-07-15</t>
  </si>
  <si>
    <t>1463009:eng</t>
  </si>
  <si>
    <t>375217</t>
  </si>
  <si>
    <t>991002581439702656</t>
  </si>
  <si>
    <t>2264082140002656</t>
  </si>
  <si>
    <t>32285000836543</t>
  </si>
  <si>
    <t>893239242</t>
  </si>
  <si>
    <t>BV210.2 .F56 1984</t>
  </si>
  <si>
    <t>0                      BV 0210200F  56          1984</t>
  </si>
  <si>
    <t>The awakening call : fostering intimacy with God / James Finley.</t>
  </si>
  <si>
    <t>Finley, James.</t>
  </si>
  <si>
    <t>Notre Dame, Ind. : Ave Maria Press, 1984.</t>
  </si>
  <si>
    <t>2002-07-15</t>
  </si>
  <si>
    <t>4632792:eng</t>
  </si>
  <si>
    <t>11687853</t>
  </si>
  <si>
    <t>991000576249702656</t>
  </si>
  <si>
    <t>2260037300002656</t>
  </si>
  <si>
    <t>9780877932789</t>
  </si>
  <si>
    <t>32285000099142</t>
  </si>
  <si>
    <t>893419591</t>
  </si>
  <si>
    <t>BV210.2 .G713 1961</t>
  </si>
  <si>
    <t>0                      BV 0210200G  713         1961</t>
  </si>
  <si>
    <t>The power of prayer / by Richard Gräf. Translated from the German by John J. Coyne.</t>
  </si>
  <si>
    <t>Westminster, Md. : Newman Press, 1961.</t>
  </si>
  <si>
    <t>2000-04-05</t>
  </si>
  <si>
    <t>2102345957:eng</t>
  </si>
  <si>
    <t>2565670</t>
  </si>
  <si>
    <t>991004165459702656</t>
  </si>
  <si>
    <t>2255413990002656</t>
  </si>
  <si>
    <t>32285000836550</t>
  </si>
  <si>
    <t>893775708</t>
  </si>
  <si>
    <t>BV210.2 .H36</t>
  </si>
  <si>
    <t>0                      BV 0210200H  36</t>
  </si>
  <si>
    <t>Prayer and meditation : their nature and practice / [by] F. C. Happold.</t>
  </si>
  <si>
    <t>Happold, F. Crossfield (Frederick Crossfield), 1893-1971.</t>
  </si>
  <si>
    <t>Harmondsworth, Penguin, 1971.</t>
  </si>
  <si>
    <t>Pelican books ; A1257</t>
  </si>
  <si>
    <t>1416255:eng</t>
  </si>
  <si>
    <t>277503</t>
  </si>
  <si>
    <t>991002173459702656</t>
  </si>
  <si>
    <t>2260241280002656</t>
  </si>
  <si>
    <t>9780140212570</t>
  </si>
  <si>
    <t>32285000836584</t>
  </si>
  <si>
    <t>893421013</t>
  </si>
  <si>
    <t>BV210.2 .H363 1975</t>
  </si>
  <si>
    <t>0                      BV 0210200H  363         1975</t>
  </si>
  <si>
    <t>Prayer : the integration of faith and life / Bernard Häring.</t>
  </si>
  <si>
    <t>Häring, Bernhard, 1912-1998.</t>
  </si>
  <si>
    <t>Notre Dame, Ind. : Fides Publishers, c1975.</t>
  </si>
  <si>
    <t>1991-09-03</t>
  </si>
  <si>
    <t>836655575:eng</t>
  </si>
  <si>
    <t>1976206</t>
  </si>
  <si>
    <t>991003962879702656</t>
  </si>
  <si>
    <t>2266624250002656</t>
  </si>
  <si>
    <t>9780819006097</t>
  </si>
  <si>
    <t>32285000734656</t>
  </si>
  <si>
    <t>893331043</t>
  </si>
  <si>
    <t>BV210.2 .H367 1983</t>
  </si>
  <si>
    <t>0                      BV 0210200H  367         1983</t>
  </si>
  <si>
    <t>Radical prayer : creating a welcome for God, ourselves, other people and the world / David J. Hassel.</t>
  </si>
  <si>
    <t>Hassel, David J.</t>
  </si>
  <si>
    <t>1999-06-27</t>
  </si>
  <si>
    <t>1990-07-11</t>
  </si>
  <si>
    <t>4331906:eng</t>
  </si>
  <si>
    <t>9320589</t>
  </si>
  <si>
    <t>991000169209702656</t>
  </si>
  <si>
    <t>2259239960002656</t>
  </si>
  <si>
    <t>9780809103409</t>
  </si>
  <si>
    <t>32285000224161</t>
  </si>
  <si>
    <t>893871477</t>
  </si>
  <si>
    <t>BV210.2 .H37 1982</t>
  </si>
  <si>
    <t>0                      BV 0210200H  37          1982</t>
  </si>
  <si>
    <t>The prodigal father : approaching the God of love / by Wilfrid Harrington.</t>
  </si>
  <si>
    <t>Harrington, Wilfrid J.</t>
  </si>
  <si>
    <t>Ways of prayer series ; v. 2</t>
  </si>
  <si>
    <t>1992-06-09</t>
  </si>
  <si>
    <t>42791226:eng</t>
  </si>
  <si>
    <t>9369574</t>
  </si>
  <si>
    <t>991000178279702656</t>
  </si>
  <si>
    <t>2258984750002656</t>
  </si>
  <si>
    <t>9780894532801</t>
  </si>
  <si>
    <t>32285000836600</t>
  </si>
  <si>
    <t>893407000</t>
  </si>
  <si>
    <t>BV210.2 .H53 1971</t>
  </si>
  <si>
    <t>0                      BV 0210200H  53          1971</t>
  </si>
  <si>
    <t>Merton's theology of prayer / John J. Higgins.</t>
  </si>
  <si>
    <t>Higgins, John J.</t>
  </si>
  <si>
    <t>Spencer, Mass. : Cistercian Publications, 1971.</t>
  </si>
  <si>
    <t>Cistercian studies series, no. 18</t>
  </si>
  <si>
    <t>2009-07-13</t>
  </si>
  <si>
    <t>453406:eng</t>
  </si>
  <si>
    <t>476476</t>
  </si>
  <si>
    <t>991005325789702656</t>
  </si>
  <si>
    <t>2262249750002656</t>
  </si>
  <si>
    <t>9780879078188</t>
  </si>
  <si>
    <t>32285005537518</t>
  </si>
  <si>
    <t>893443765</t>
  </si>
  <si>
    <t>BV210.2 .L3813 1975</t>
  </si>
  <si>
    <t>0                      BV 0210200L  3813        1975</t>
  </si>
  <si>
    <t>Simplicity, the heart of prayer / Georges Lefebvre ; translated by Dinah Livingstone ; foreword by Simon Tugwell.</t>
  </si>
  <si>
    <t>Lefebvre, Georges, 1908-</t>
  </si>
  <si>
    <t>1999-01-14</t>
  </si>
  <si>
    <t>1990-07-30</t>
  </si>
  <si>
    <t>2260974866:eng</t>
  </si>
  <si>
    <t>1505374</t>
  </si>
  <si>
    <t>991003788739702656</t>
  </si>
  <si>
    <t>2255225530002656</t>
  </si>
  <si>
    <t>9780809118816</t>
  </si>
  <si>
    <t>32285000228972</t>
  </si>
  <si>
    <t>893258865</t>
  </si>
  <si>
    <t>BV210.2 .L413 1959</t>
  </si>
  <si>
    <t>0                      BV 0210200L  413         1959</t>
  </si>
  <si>
    <t>The art of prayer / Martial Lekeux. Translated by Paul Joseph Oligny.</t>
  </si>
  <si>
    <t>Lekeux, Martial, 1884-</t>
  </si>
  <si>
    <t>Chicago : Franciscan Herald Press, [1959]</t>
  </si>
  <si>
    <t>366237282:eng</t>
  </si>
  <si>
    <t>1669238</t>
  </si>
  <si>
    <t>991003862289702656</t>
  </si>
  <si>
    <t>2271523040002656</t>
  </si>
  <si>
    <t>32285000836683</t>
  </si>
  <si>
    <t>893535669</t>
  </si>
  <si>
    <t>BV210.2 .L55 1987</t>
  </si>
  <si>
    <t>0                      BV 0210200L  55          1987</t>
  </si>
  <si>
    <t>Praying home : the contemplative journey / Robert Llewelyn, Kallistos Ware, Mary Clare.</t>
  </si>
  <si>
    <t>Llewelyn, Robert, 1909-2008.</t>
  </si>
  <si>
    <t>Cambridge, Mass. : Cowley Publications, 1987.</t>
  </si>
  <si>
    <t>1999-07-10</t>
  </si>
  <si>
    <t>11962720:eng</t>
  </si>
  <si>
    <t>16405520</t>
  </si>
  <si>
    <t>991001106309702656</t>
  </si>
  <si>
    <t>2263545550002656</t>
  </si>
  <si>
    <t>9780936384528</t>
  </si>
  <si>
    <t>32285000836691</t>
  </si>
  <si>
    <t>893791175</t>
  </si>
  <si>
    <t>BV210.2 .L6313 1975b</t>
  </si>
  <si>
    <t>0                      BV 0210200L  6313        1975b</t>
  </si>
  <si>
    <t>Teach us to pray : learning a little about God / André Louf ; translated by Hubert Hoskins.</t>
  </si>
  <si>
    <t>Louf, André.</t>
  </si>
  <si>
    <t>New York : Paulist Press, c1975.</t>
  </si>
  <si>
    <t>U.S. ed.</t>
  </si>
  <si>
    <t>1999-07-12</t>
  </si>
  <si>
    <t>3855864416:eng</t>
  </si>
  <si>
    <t>2985248</t>
  </si>
  <si>
    <t>991004308189702656</t>
  </si>
  <si>
    <t>2262050810002656</t>
  </si>
  <si>
    <t>9780809120017</t>
  </si>
  <si>
    <t>32285000836709</t>
  </si>
  <si>
    <t>893535907</t>
  </si>
  <si>
    <t>BV210.2 .L69 1989</t>
  </si>
  <si>
    <t>0                      BV 0210200L  69          1989</t>
  </si>
  <si>
    <t>Praying even when the door seems closed : the nature and stages of prayer / John Manuel Lozano.</t>
  </si>
  <si>
    <t>Lozano, Juan María.</t>
  </si>
  <si>
    <t>New York : Paulist Press, c1989.</t>
  </si>
  <si>
    <t>2007-08-08</t>
  </si>
  <si>
    <t>17425559:eng</t>
  </si>
  <si>
    <t>18559552</t>
  </si>
  <si>
    <t>991005090549702656</t>
  </si>
  <si>
    <t>2260817230002656</t>
  </si>
  <si>
    <t>9780809130481</t>
  </si>
  <si>
    <t>32285005316434</t>
  </si>
  <si>
    <t>893870494</t>
  </si>
  <si>
    <t>BV210.2 .L8713 1987</t>
  </si>
  <si>
    <t>0                      BV 0210200L  8713        1987</t>
  </si>
  <si>
    <t>First steps in prayer / Cardinal Jean-Marie Lustiger ; translated by Rebecca Howell Balinski.</t>
  </si>
  <si>
    <t>Lustiger, Jean-Marie, 1926-2007.</t>
  </si>
  <si>
    <t>New York : Doubleday, 1987.</t>
  </si>
  <si>
    <t>1999-07-06</t>
  </si>
  <si>
    <t>111279472:eng</t>
  </si>
  <si>
    <t>15365982</t>
  </si>
  <si>
    <t>991001019539702656</t>
  </si>
  <si>
    <t>2260130620002656</t>
  </si>
  <si>
    <t>9780385241885</t>
  </si>
  <si>
    <t>32285000836717</t>
  </si>
  <si>
    <t>893791090</t>
  </si>
  <si>
    <t>BV210.2 .M35</t>
  </si>
  <si>
    <t>0                      BV 0210200M  35</t>
  </si>
  <si>
    <t>The Jesus prayer / George A. Maloney.</t>
  </si>
  <si>
    <t>Maloney, George A., 1924-2005.</t>
  </si>
  <si>
    <t>Pecos, N.M. : Dove publications, 1974.</t>
  </si>
  <si>
    <t>2008-03-15</t>
  </si>
  <si>
    <t>2550507789:eng</t>
  </si>
  <si>
    <t>1720124</t>
  </si>
  <si>
    <t>991003879579702656</t>
  </si>
  <si>
    <t>2255413120002656</t>
  </si>
  <si>
    <t>32285000836725</t>
  </si>
  <si>
    <t>893252933</t>
  </si>
  <si>
    <t>BV210.2 .M4 1973</t>
  </si>
  <si>
    <t>0                      BV 0210200M  4           1973</t>
  </si>
  <si>
    <t>The climate of monastic prayer. Foreword by Douglas V. Steere.</t>
  </si>
  <si>
    <t>Merton, Thomas, 1915-1968.</t>
  </si>
  <si>
    <t>Washington, D. C., Consortium Press, 1973 [c1969]</t>
  </si>
  <si>
    <t>Cistercian studies series ; no. 1</t>
  </si>
  <si>
    <t>1992-10-16</t>
  </si>
  <si>
    <t>1991-11-26</t>
  </si>
  <si>
    <t>1261782:eng</t>
  </si>
  <si>
    <t>1882987</t>
  </si>
  <si>
    <t>991003926019702656</t>
  </si>
  <si>
    <t>2255085740002656</t>
  </si>
  <si>
    <t>32285000836733</t>
  </si>
  <si>
    <t>893611693</t>
  </si>
  <si>
    <t>BV210.2 .N65 1978</t>
  </si>
  <si>
    <t>0                      BV 0210200N  65          1978</t>
  </si>
  <si>
    <t>Why should anyone pray? / by Father Joseph T. Nolan.</t>
  </si>
  <si>
    <t>Nolan, Joseph T.</t>
  </si>
  <si>
    <t>Chicago : Claretian Publications, 1978.</t>
  </si>
  <si>
    <t>1998-11-15</t>
  </si>
  <si>
    <t>1990-12-28</t>
  </si>
  <si>
    <t>26655143:eng</t>
  </si>
  <si>
    <t>7192501</t>
  </si>
  <si>
    <t>991005085349702656</t>
  </si>
  <si>
    <t>2262315800002656</t>
  </si>
  <si>
    <t>32285000297993</t>
  </si>
  <si>
    <t>893694740</t>
  </si>
  <si>
    <t>BV210.2 .P4313 1974</t>
  </si>
  <si>
    <t>0                      BV 0210200P  4313        1974</t>
  </si>
  <si>
    <t>Prayer and life / Piet Penning de Vries ; translated by W. Dudok van Heel ; foreword by Theodore Zwartkruis.</t>
  </si>
  <si>
    <t>Penning de Vries, Piet.</t>
  </si>
  <si>
    <t>Hicksville, N.Y. : Exposition Press, [1974]</t>
  </si>
  <si>
    <t>An Exposition-testament book</t>
  </si>
  <si>
    <t>2000-03-20</t>
  </si>
  <si>
    <t>2043527:eng</t>
  </si>
  <si>
    <t>1129940</t>
  </si>
  <si>
    <t>991003559799702656</t>
  </si>
  <si>
    <t>2272502910002656</t>
  </si>
  <si>
    <t>9780682479851</t>
  </si>
  <si>
    <t>32285000836758</t>
  </si>
  <si>
    <t>893604906</t>
  </si>
  <si>
    <t>BV210.2 .P46 1982</t>
  </si>
  <si>
    <t>0                      BV 0210200P  46          1982</t>
  </si>
  <si>
    <t>Challenges in prayer / by Basil Pennington.</t>
  </si>
  <si>
    <t>Pennington, M. Basil.</t>
  </si>
  <si>
    <t>Ways of prayer series ; v. 1</t>
  </si>
  <si>
    <t>1994-01-16</t>
  </si>
  <si>
    <t>422876:eng</t>
  </si>
  <si>
    <t>9369588</t>
  </si>
  <si>
    <t>991000178369702656</t>
  </si>
  <si>
    <t>2258982530002656</t>
  </si>
  <si>
    <t>9780894532757</t>
  </si>
  <si>
    <t>32285000836774</t>
  </si>
  <si>
    <t>893777766</t>
  </si>
  <si>
    <t>BV210.2 .P62 1974</t>
  </si>
  <si>
    <t>0                      BV 0210200P  62          1974</t>
  </si>
  <si>
    <t>He touched me : my pilgrimage of prayer / John Powell.</t>
  </si>
  <si>
    <t>Powell, John, 1925-2009.</t>
  </si>
  <si>
    <t>Allen, Tex. : Tabor Pub., c1974.</t>
  </si>
  <si>
    <t>txu</t>
  </si>
  <si>
    <t>2003-07-01</t>
  </si>
  <si>
    <t>2002-08-13</t>
  </si>
  <si>
    <t>2999349037:eng</t>
  </si>
  <si>
    <t>18055555</t>
  </si>
  <si>
    <t>991003858759702656</t>
  </si>
  <si>
    <t>2265860550002656</t>
  </si>
  <si>
    <t>9780913592472</t>
  </si>
  <si>
    <t>32285004643051</t>
  </si>
  <si>
    <t>893599070</t>
  </si>
  <si>
    <t>BV210.2 .R2513 1974</t>
  </si>
  <si>
    <t>0                      BV 0210200R  2513        1974</t>
  </si>
  <si>
    <t>How to pray today / by Yves Raguin. Translated by John Beevers.</t>
  </si>
  <si>
    <t>Raguin, Yves, 1912-1998.</t>
  </si>
  <si>
    <t>Religious experience series ; v. 4</t>
  </si>
  <si>
    <t>1882094853:eng</t>
  </si>
  <si>
    <t>886209</t>
  </si>
  <si>
    <t>991003353029702656</t>
  </si>
  <si>
    <t>2257362070002656</t>
  </si>
  <si>
    <t>9780870290282</t>
  </si>
  <si>
    <t>32285000836824</t>
  </si>
  <si>
    <t>893617273</t>
  </si>
  <si>
    <t>BV210.2 .R58213 1973</t>
  </si>
  <si>
    <t>0                      BV 0210200R  58213       1973</t>
  </si>
  <si>
    <t>Courage to pray / Anthony Bloom and Georges LeFebvre ; translated by Dinah Livingstone.</t>
  </si>
  <si>
    <t>New York : Paulist Press, c1973.</t>
  </si>
  <si>
    <t>2003-02-06</t>
  </si>
  <si>
    <t>101336467:eng</t>
  </si>
  <si>
    <t>1120516</t>
  </si>
  <si>
    <t>991003552319702656</t>
  </si>
  <si>
    <t>2268719390002656</t>
  </si>
  <si>
    <t>9780809101900</t>
  </si>
  <si>
    <t>32285000836865</t>
  </si>
  <si>
    <t>893441418</t>
  </si>
  <si>
    <t>BV210.2 .S3 1977</t>
  </si>
  <si>
    <t>0                      BV 0210200S  3           1977</t>
  </si>
  <si>
    <t>The radiant heart / by Linda Sabbath ; foreword by Rev. George A. Maloney, S. J.</t>
  </si>
  <si>
    <t>Sabbath, Linda.</t>
  </si>
  <si>
    <t>Denville, N.J. : Dimension Books ; Toronto, Ont. : Griffin Press, c1977.</t>
  </si>
  <si>
    <t>2005-02-09</t>
  </si>
  <si>
    <t>1990-06-28</t>
  </si>
  <si>
    <t>14585561:eng</t>
  </si>
  <si>
    <t>4285062</t>
  </si>
  <si>
    <t>991004619989702656</t>
  </si>
  <si>
    <t>2255652660002656</t>
  </si>
  <si>
    <t>9780871930286</t>
  </si>
  <si>
    <t>32285000215490</t>
  </si>
  <si>
    <t>893776212</t>
  </si>
  <si>
    <t>BV210.2 .S477 1988</t>
  </si>
  <si>
    <t>0                      BV 0210200S  477         1988</t>
  </si>
  <si>
    <t>Seeking the face of God / William H. Shannon.</t>
  </si>
  <si>
    <t>Shannon, William H. (William Henry), 1917-2012.</t>
  </si>
  <si>
    <t>New York : Crossroad, c1988.</t>
  </si>
  <si>
    <t>2003-05-28</t>
  </si>
  <si>
    <t>47271187:eng</t>
  </si>
  <si>
    <t>17104033</t>
  </si>
  <si>
    <t>991001177439702656</t>
  </si>
  <si>
    <t>2269497320002656</t>
  </si>
  <si>
    <t>9780824508838</t>
  </si>
  <si>
    <t>32285000637313</t>
  </si>
  <si>
    <t>893702816</t>
  </si>
  <si>
    <t>BV210.2 .S66</t>
  </si>
  <si>
    <t>0                      BV 0210200S  66</t>
  </si>
  <si>
    <t>Honest prayer / John Shelby Spong.</t>
  </si>
  <si>
    <t>Spong, John Shelby.</t>
  </si>
  <si>
    <t>New York, Seabury Press [1972, c1973]</t>
  </si>
  <si>
    <t>2006-11-14</t>
  </si>
  <si>
    <t>513732:eng</t>
  </si>
  <si>
    <t>572215</t>
  </si>
  <si>
    <t>991003004899702656</t>
  </si>
  <si>
    <t>2272365710002656</t>
  </si>
  <si>
    <t>9780816402458</t>
  </si>
  <si>
    <t>32285000836899</t>
  </si>
  <si>
    <t>893251902</t>
  </si>
  <si>
    <t>BV210.2 .T68 1983</t>
  </si>
  <si>
    <t>0                      BV 0210200T  68          1983</t>
  </si>
  <si>
    <t>Faith, prayer, and devotion / Ralph Townsend.</t>
  </si>
  <si>
    <t>Townsend, Ralph.</t>
  </si>
  <si>
    <t>Oxford, England : B. Blackwell, 1983.</t>
  </si>
  <si>
    <t>Faith and the future</t>
  </si>
  <si>
    <t>2001-03-30</t>
  </si>
  <si>
    <t>3917970:eng</t>
  </si>
  <si>
    <t>11318374</t>
  </si>
  <si>
    <t>991000520229702656</t>
  </si>
  <si>
    <t>2256199030002656</t>
  </si>
  <si>
    <t>9780631132325</t>
  </si>
  <si>
    <t>32285000836907</t>
  </si>
  <si>
    <t>893790597</t>
  </si>
  <si>
    <t>BV210.2 .T82 1974</t>
  </si>
  <si>
    <t>0                      BV 0210200T  82          1974</t>
  </si>
  <si>
    <t>Prayer in practice / Simon Tugwell.</t>
  </si>
  <si>
    <t>Tugwell, Simon.</t>
  </si>
  <si>
    <t>Springfield, Ill. : Templegate Publishers, c1974.</t>
  </si>
  <si>
    <t>2007-07-13</t>
  </si>
  <si>
    <t>3943368823:eng</t>
  </si>
  <si>
    <t>15634827</t>
  </si>
  <si>
    <t>991001049449702656</t>
  </si>
  <si>
    <t>2255378070002656</t>
  </si>
  <si>
    <t>9780872430624</t>
  </si>
  <si>
    <t>32285000836915</t>
  </si>
  <si>
    <t>893315461</t>
  </si>
  <si>
    <t>BV210.2 .V32 1963</t>
  </si>
  <si>
    <t>0                      BV 0210200V  32          1963</t>
  </si>
  <si>
    <t>Prayer in other words : a presentation for beginners / by Hubert Van Zeller.</t>
  </si>
  <si>
    <t>Springfield, Ill. : Templegate, [1963]</t>
  </si>
  <si>
    <t>In other words series</t>
  </si>
  <si>
    <t>1993-01-28</t>
  </si>
  <si>
    <t>148343738:eng</t>
  </si>
  <si>
    <t>917071</t>
  </si>
  <si>
    <t>991003380609702656</t>
  </si>
  <si>
    <t>2260204640002656</t>
  </si>
  <si>
    <t>32285001479582</t>
  </si>
  <si>
    <t>893240163</t>
  </si>
  <si>
    <t>BV210.2 .W45 1972</t>
  </si>
  <si>
    <t>0                      BV 0210200W  45          1972</t>
  </si>
  <si>
    <t>Benjamin, essays in prayer / [by] Joseph P. Whelan.</t>
  </si>
  <si>
    <t>Whelan, Joseph P.</t>
  </si>
  <si>
    <t>New York : Newman Press, [1972]</t>
  </si>
  <si>
    <t>1320797853:eng</t>
  </si>
  <si>
    <t>320374</t>
  </si>
  <si>
    <t>991002321569702656</t>
  </si>
  <si>
    <t>2258861480002656</t>
  </si>
  <si>
    <t>32285000836931</t>
  </si>
  <si>
    <t>893809425</t>
  </si>
  <si>
    <t>BV210.2 .Y85</t>
  </si>
  <si>
    <t>0                      BV 0210200Y  85</t>
  </si>
  <si>
    <t>Rediscovering prayer / [by] John R. Yungblut.</t>
  </si>
  <si>
    <t>Yungblut, John R.</t>
  </si>
  <si>
    <t>New York, Seabury Press [1972]</t>
  </si>
  <si>
    <t>1993-12-17</t>
  </si>
  <si>
    <t>3943691365:eng</t>
  </si>
  <si>
    <t>393462</t>
  </si>
  <si>
    <t>991002666659702656</t>
  </si>
  <si>
    <t>2259859960002656</t>
  </si>
  <si>
    <t>9780816402380</t>
  </si>
  <si>
    <t>32285000836964</t>
  </si>
  <si>
    <t>893809609</t>
  </si>
  <si>
    <t>BV2110 .A4 1976</t>
  </si>
  <si>
    <t>0                      BV 2110000A  4           1976</t>
  </si>
  <si>
    <t>The medieval missionary : a study of the conversion of Northern Europe, A.D. 500-1300 / by James Thayer Addison.</t>
  </si>
  <si>
    <t>Addison, James Thayer, 1887-1953.</t>
  </si>
  <si>
    <t>Philadelphia : Porcupine Press, 1976.</t>
  </si>
  <si>
    <t>Perspectives in European history ; no. 1</t>
  </si>
  <si>
    <t>2003-10-27</t>
  </si>
  <si>
    <t>2153809:eng</t>
  </si>
  <si>
    <t>2119416</t>
  </si>
  <si>
    <t>991004019049702656</t>
  </si>
  <si>
    <t>2268009260002656</t>
  </si>
  <si>
    <t>9780879916107</t>
  </si>
  <si>
    <t>32285000927573</t>
  </si>
  <si>
    <t>893423279</t>
  </si>
  <si>
    <t>BV2120 .B4</t>
  </si>
  <si>
    <t>0                      BV 2120000B  4</t>
  </si>
  <si>
    <t>Ecumenical beginnings in Protestant world mission : a history of comity / by R. Pierce Beaver.</t>
  </si>
  <si>
    <t>Beaver, R. Pierce (Robert Pierce), 1906-1987.</t>
  </si>
  <si>
    <t>New York, Nelson [1962]</t>
  </si>
  <si>
    <t>1993-01-30</t>
  </si>
  <si>
    <t>428888719:eng</t>
  </si>
  <si>
    <t>3015529</t>
  </si>
  <si>
    <t>991004318669702656</t>
  </si>
  <si>
    <t>2272675370002656</t>
  </si>
  <si>
    <t>32285000927581</t>
  </si>
  <si>
    <t>893325213</t>
  </si>
  <si>
    <t>BV2120 .H3</t>
  </si>
  <si>
    <t>0                      BV 2120000H  3</t>
  </si>
  <si>
    <t>Frontiers of the Christian world mission since 1938 : essays in honor of Kenneth Scott Latourette / edited by Wilbur C. Harr.</t>
  </si>
  <si>
    <t>New York, Harper &amp; Bros. [1962]</t>
  </si>
  <si>
    <t>[1st ed.]</t>
  </si>
  <si>
    <t>134158613:eng</t>
  </si>
  <si>
    <t>1370633</t>
  </si>
  <si>
    <t>991003724669702656</t>
  </si>
  <si>
    <t>2261836050002656</t>
  </si>
  <si>
    <t>32285000927599</t>
  </si>
  <si>
    <t>893718006</t>
  </si>
  <si>
    <t>BV213 .F36</t>
  </si>
  <si>
    <t>0                      BV 0213000F  36</t>
  </si>
  <si>
    <t>Praying / by Robert Faricy.</t>
  </si>
  <si>
    <t>Faricy, Robert L., 1926-</t>
  </si>
  <si>
    <t>Minneapolis : Winston Press, c1979.</t>
  </si>
  <si>
    <t>4199904:eng</t>
  </si>
  <si>
    <t>6153084</t>
  </si>
  <si>
    <t>991004938519702656</t>
  </si>
  <si>
    <t>2263208890002656</t>
  </si>
  <si>
    <t>9780030566615</t>
  </si>
  <si>
    <t>32285000836998</t>
  </si>
  <si>
    <t>893248136</t>
  </si>
  <si>
    <t>BV213 .H78 1927</t>
  </si>
  <si>
    <t>0                      BV 0213000H  78          1927</t>
  </si>
  <si>
    <t>The life of prayer / by Baron Friedrich von Hügel.</t>
  </si>
  <si>
    <t>Hügel, Friedrich, Freiherr von, 1852-1925.</t>
  </si>
  <si>
    <t>New York : E. P. Dutton &amp; co., inc., c1927, 1960 printing.</t>
  </si>
  <si>
    <t>1927</t>
  </si>
  <si>
    <t>1997-06-25</t>
  </si>
  <si>
    <t>3265244:eng</t>
  </si>
  <si>
    <t>8719971</t>
  </si>
  <si>
    <t>991000058599702656</t>
  </si>
  <si>
    <t>2256108630002656</t>
  </si>
  <si>
    <t>32285000837004</t>
  </si>
  <si>
    <t>893695550</t>
  </si>
  <si>
    <t>BV213 .S94 1968</t>
  </si>
  <si>
    <t>0                      BV 0213000S  94          1968</t>
  </si>
  <si>
    <t>Prayer, the problem of dialogue with God / edited by Christopher F. Mooney.</t>
  </si>
  <si>
    <t>Symposium on Prayer (1968 : Shrub Oak, N.Y.)</t>
  </si>
  <si>
    <t>Paramus, N.J. : Paulist Press, [1969]</t>
  </si>
  <si>
    <t>Exploration books</t>
  </si>
  <si>
    <t>2006-07-23</t>
  </si>
  <si>
    <t>1811292501:eng</t>
  </si>
  <si>
    <t>49045</t>
  </si>
  <si>
    <t>991000115299702656</t>
  </si>
  <si>
    <t>2263595060002656</t>
  </si>
  <si>
    <t>32285000837020</t>
  </si>
  <si>
    <t>893527819</t>
  </si>
  <si>
    <t>BV214 .D25 1984</t>
  </si>
  <si>
    <t>0                      BV 0214000D  25          1984</t>
  </si>
  <si>
    <t>Simple prayer / by John Dalrymple.</t>
  </si>
  <si>
    <t>Dalrymple, John.</t>
  </si>
  <si>
    <t>Wilmington, Del. : Michael Glazier, c1984.</t>
  </si>
  <si>
    <t>Ways of prayer, 0894532820 ; v.9</t>
  </si>
  <si>
    <t>2005-07-12</t>
  </si>
  <si>
    <t>2793115:eng</t>
  </si>
  <si>
    <t>10750452</t>
  </si>
  <si>
    <t>991000422209702656</t>
  </si>
  <si>
    <t>2265667920002656</t>
  </si>
  <si>
    <t>9780894533013</t>
  </si>
  <si>
    <t>32285000228998</t>
  </si>
  <si>
    <t>893695815</t>
  </si>
  <si>
    <t>BV215 .B74 1985</t>
  </si>
  <si>
    <t>0                      BV 0215000B  74          1985</t>
  </si>
  <si>
    <t>A voice over the water : an invitation to prayer / William Breault.</t>
  </si>
  <si>
    <t>Breault, William.</t>
  </si>
  <si>
    <t>Notre Dane, Ind. : Ave Marie Press, c1985.</t>
  </si>
  <si>
    <t>2001-08-27</t>
  </si>
  <si>
    <t>5164588367:eng</t>
  </si>
  <si>
    <t>12345364</t>
  </si>
  <si>
    <t>991000616779702656</t>
  </si>
  <si>
    <t>2261942460002656</t>
  </si>
  <si>
    <t>32285000837061</t>
  </si>
  <si>
    <t>893243421</t>
  </si>
  <si>
    <t>BV215 .C3313 1983</t>
  </si>
  <si>
    <t>0                      BV 0215000C  3313        1983</t>
  </si>
  <si>
    <t>Being present to God : letters on prayer / by Henri Caffarel ; translated by Angeline Bouchard.</t>
  </si>
  <si>
    <t>Caffarel, Henri.</t>
  </si>
  <si>
    <t>Staten Island, N.Y. : Alba House, c1983.</t>
  </si>
  <si>
    <t>1991-11-06</t>
  </si>
  <si>
    <t>1813176918:eng</t>
  </si>
  <si>
    <t>9758147</t>
  </si>
  <si>
    <t>991000251259702656</t>
  </si>
  <si>
    <t>2256936010002656</t>
  </si>
  <si>
    <t>9780818904622</t>
  </si>
  <si>
    <t>32285000798537</t>
  </si>
  <si>
    <t>893771503</t>
  </si>
  <si>
    <t>BV215 .C365 1987</t>
  </si>
  <si>
    <t>0                      BV 0215000C  365         1987</t>
  </si>
  <si>
    <t>Prayer perspectives / by Edward Carter.</t>
  </si>
  <si>
    <t>New York : Alba House, c1987.</t>
  </si>
  <si>
    <t>9080575:eng</t>
  </si>
  <si>
    <t>14692684</t>
  </si>
  <si>
    <t>991000952859702656</t>
  </si>
  <si>
    <t>2257733970002656</t>
  </si>
  <si>
    <t>9780818905131</t>
  </si>
  <si>
    <t>32285000837079</t>
  </si>
  <si>
    <t>893596060</t>
  </si>
  <si>
    <t>BV215 .C38</t>
  </si>
  <si>
    <t>0                      BV 0215000C  38</t>
  </si>
  <si>
    <t>The experience of praying / Sean Caulfield.</t>
  </si>
  <si>
    <t>Caulfield, Sean.</t>
  </si>
  <si>
    <t>New York : Paulist Press, c1980.</t>
  </si>
  <si>
    <t>2225415855:eng</t>
  </si>
  <si>
    <t>6277177</t>
  </si>
  <si>
    <t>991004954629702656</t>
  </si>
  <si>
    <t>2268781390002656</t>
  </si>
  <si>
    <t>9780809103072</t>
  </si>
  <si>
    <t>32285000837087</t>
  </si>
  <si>
    <t>893782840</t>
  </si>
  <si>
    <t>BV215 .C3913 1998</t>
  </si>
  <si>
    <t>0                      BV 0215000C  3913        1998</t>
  </si>
  <si>
    <t>A treatise on prayer from the heart : a Christian mystical tradition recovered for all / Jean Pierre Caussade ; translated, edited, and introducted by Robert M. McKeon.</t>
  </si>
  <si>
    <t>St. Louis, MO : Institute of Jesuit Sources, c1998.</t>
  </si>
  <si>
    <t>Series I--Jesuit primary sources, in English translations ; no. 17</t>
  </si>
  <si>
    <t>2005-07-29</t>
  </si>
  <si>
    <t>2003-10-06</t>
  </si>
  <si>
    <t>26068106:eng</t>
  </si>
  <si>
    <t>40096361</t>
  </si>
  <si>
    <t>991004100639702656</t>
  </si>
  <si>
    <t>2271709590002656</t>
  </si>
  <si>
    <t>9781880810316</t>
  </si>
  <si>
    <t>32285004786678</t>
  </si>
  <si>
    <t>893525656</t>
  </si>
  <si>
    <t>BV215 .C56</t>
  </si>
  <si>
    <t>0                      BV 0215000C  56</t>
  </si>
  <si>
    <t>Make space, make symbols : a personal journey into prayer / Keith Clark.</t>
  </si>
  <si>
    <t>Clark, Keith.</t>
  </si>
  <si>
    <t>Notre Dame, Ind. : Ave Maria Press, c1979.</t>
  </si>
  <si>
    <t>2003-07-07</t>
  </si>
  <si>
    <t>2288750329:eng</t>
  </si>
  <si>
    <t>4788028</t>
  </si>
  <si>
    <t>991004718749702656</t>
  </si>
  <si>
    <t>2256867570002656</t>
  </si>
  <si>
    <t>9780877931720</t>
  </si>
  <si>
    <t>32285000837095</t>
  </si>
  <si>
    <t>893706759</t>
  </si>
  <si>
    <t>BV215 .D33 1983</t>
  </si>
  <si>
    <t>0                      BV 0215000D  33          1983</t>
  </si>
  <si>
    <t>Anyone can pray : a guide to methods of Christian prayer / Graeme J. Davidson with Mary MacDonald ; illustrations by William Hart McNichols.</t>
  </si>
  <si>
    <t>Davidson, Graeme J.</t>
  </si>
  <si>
    <t>1997-07-19</t>
  </si>
  <si>
    <t>2213708695:eng</t>
  </si>
  <si>
    <t>10084102</t>
  </si>
  <si>
    <t>991000309909702656</t>
  </si>
  <si>
    <t>2262808200002656</t>
  </si>
  <si>
    <t>9780809125425</t>
  </si>
  <si>
    <t>32285000837103</t>
  </si>
  <si>
    <t>893320962</t>
  </si>
  <si>
    <t>BV215 .G5 1989</t>
  </si>
  <si>
    <t>0                      BV 0215000G  5           1989</t>
  </si>
  <si>
    <t>Pray as you can : discovering your own prayer ways / Jean Gill.</t>
  </si>
  <si>
    <t>Gill, Jean.</t>
  </si>
  <si>
    <t>Notre Dame, Ind. : Ave Maria Press, c1989.</t>
  </si>
  <si>
    <t>1995-06-20</t>
  </si>
  <si>
    <t>1991-11-08</t>
  </si>
  <si>
    <t>1166696757:eng</t>
  </si>
  <si>
    <t>20325029</t>
  </si>
  <si>
    <t>991001565759702656</t>
  </si>
  <si>
    <t>2260303340002656</t>
  </si>
  <si>
    <t>9780877934028</t>
  </si>
  <si>
    <t>32285000820919</t>
  </si>
  <si>
    <t>893250300</t>
  </si>
  <si>
    <t>BV215 .L38 1980</t>
  </si>
  <si>
    <t>0                      BV 0215000L  38          1980</t>
  </si>
  <si>
    <t>True prayer : an invitation to Christian spirituality / Kenneth Leech.</t>
  </si>
  <si>
    <t>Leech, Kenneth, 1939-2015.</t>
  </si>
  <si>
    <t>New York : Harper &amp; Row, c1980.</t>
  </si>
  <si>
    <t>1st U.S. ed.</t>
  </si>
  <si>
    <t>2003-12-05</t>
  </si>
  <si>
    <t>498642530:eng</t>
  </si>
  <si>
    <t>6762578</t>
  </si>
  <si>
    <t>991005037359702656</t>
  </si>
  <si>
    <t>2262863830002656</t>
  </si>
  <si>
    <t>9780060652272</t>
  </si>
  <si>
    <t>32285001074482</t>
  </si>
  <si>
    <t>893418294</t>
  </si>
  <si>
    <t>BV215 .L5 1886</t>
  </si>
  <si>
    <t>0                      BV 0215000L  5           1886</t>
  </si>
  <si>
    <t>The great means of salvation and of perfection : prayer : mental prayer : the exercises of a retreat : choice of a state of life, and the vocation to the religious state and to the priesthood / by St. Alphonsus de Liguori ; ed. by Eugene Grimm.</t>
  </si>
  <si>
    <t>Liguori, Alfonso Maria de', Saint, 1696-1787.</t>
  </si>
  <si>
    <t>New York : Benziger, [c1886].</t>
  </si>
  <si>
    <t>1886</t>
  </si>
  <si>
    <t>The complete works of Saint Alphonsus de Liguori. The ascetical works ; v.3</t>
  </si>
  <si>
    <t>2007-10-08</t>
  </si>
  <si>
    <t>2054775:eng</t>
  </si>
  <si>
    <t>7452669</t>
  </si>
  <si>
    <t>991005112089702656</t>
  </si>
  <si>
    <t>2260382740002656</t>
  </si>
  <si>
    <t>32285000837111</t>
  </si>
  <si>
    <t>893625468</t>
  </si>
  <si>
    <t>BV215 .M33 1985</t>
  </si>
  <si>
    <t>0                      BV 0215000M  33          1985</t>
  </si>
  <si>
    <t>Prayer pilgrimage with Paul : resources for personal and small group prayer / Rea McDonnell.</t>
  </si>
  <si>
    <t>McDonnell, Rea.</t>
  </si>
  <si>
    <t>New York : Paulist Press, c1985.</t>
  </si>
  <si>
    <t>1999-07-24</t>
  </si>
  <si>
    <t>6994084:eng</t>
  </si>
  <si>
    <t>13512084</t>
  </si>
  <si>
    <t>991000838249702656</t>
  </si>
  <si>
    <t>2264065030002656</t>
  </si>
  <si>
    <t>32285000837129</t>
  </si>
  <si>
    <t>893225360</t>
  </si>
  <si>
    <t>BV215 .M335 1989</t>
  </si>
  <si>
    <t>0                      BV 0215000M  335         1989</t>
  </si>
  <si>
    <t>Why not become totally fire? : the power of fiery prayer / by George A. Maloney.</t>
  </si>
  <si>
    <t>2004-11-21</t>
  </si>
  <si>
    <t>1990-10-17</t>
  </si>
  <si>
    <t>22711168:eng</t>
  </si>
  <si>
    <t>20296794</t>
  </si>
  <si>
    <t>991001560809702656</t>
  </si>
  <si>
    <t>2260244660002656</t>
  </si>
  <si>
    <t>9780809131228</t>
  </si>
  <si>
    <t>32285000311117</t>
  </si>
  <si>
    <t>893903459</t>
  </si>
  <si>
    <t>BV215 .M34 1982</t>
  </si>
  <si>
    <t>0                      BV 0215000M  34          1982</t>
  </si>
  <si>
    <t>Centering on the Lord Jesus : the whole person at prayer / by George Maloney.</t>
  </si>
  <si>
    <t>Ways of prayer ; v. 3</t>
  </si>
  <si>
    <t>2003-07-11</t>
  </si>
  <si>
    <t>42848456:eng</t>
  </si>
  <si>
    <t>9319343</t>
  </si>
  <si>
    <t>991000169089702656</t>
  </si>
  <si>
    <t>2261311150002656</t>
  </si>
  <si>
    <t>9780894532788</t>
  </si>
  <si>
    <t>32285000837137</t>
  </si>
  <si>
    <t>893419257</t>
  </si>
  <si>
    <t>BV215 .O44 1994</t>
  </si>
  <si>
    <t>0                      BV 0215000O  44          1994</t>
  </si>
  <si>
    <t>Free to pray -- free to love : growing in prayer &amp; compassion / Max Oliva.</t>
  </si>
  <si>
    <t>Oliva, Max.</t>
  </si>
  <si>
    <t>Notre Dame, Indiana : Ave Maria Press, c1994.</t>
  </si>
  <si>
    <t>2007-03-30</t>
  </si>
  <si>
    <t>34412993:eng</t>
  </si>
  <si>
    <t>29927897</t>
  </si>
  <si>
    <t>991002307559702656</t>
  </si>
  <si>
    <t>2270582170002656</t>
  </si>
  <si>
    <t>9780877935216</t>
  </si>
  <si>
    <t>32285001864015</t>
  </si>
  <si>
    <t>893703928</t>
  </si>
  <si>
    <t>BV215 .Y68</t>
  </si>
  <si>
    <t>0                      BV 0215000Y  68</t>
  </si>
  <si>
    <t>You : prayer for beginners and those who have forgotten how / [compiled by] Mark Link.</t>
  </si>
  <si>
    <t>Niles, Ill. : Argus Communications, c1976.</t>
  </si>
  <si>
    <t>1999-07-07</t>
  </si>
  <si>
    <t>5164525815:eng</t>
  </si>
  <si>
    <t>2580540</t>
  </si>
  <si>
    <t>991004499739702656</t>
  </si>
  <si>
    <t>2263888130002656</t>
  </si>
  <si>
    <t>9780913592786</t>
  </si>
  <si>
    <t>32285000837160</t>
  </si>
  <si>
    <t>893259786</t>
  </si>
  <si>
    <t>BV2160 .N277 1986</t>
  </si>
  <si>
    <t>0                      BV 2160000N  277         1986</t>
  </si>
  <si>
    <t>To the ends of the earth: a pastoral statement on world mission / National Conference of Catholic Bishops.</t>
  </si>
  <si>
    <t>Catholic Church. National Conference of Catholic Bishops. Committee on the Missions.</t>
  </si>
  <si>
    <t>Washington : Office of Publishing and Promotion Services, United States Catholic Conference, c1986.</t>
  </si>
  <si>
    <t>Publication (United States Catholic Conference. Office of Publishing and Promotion Services) ; no. 112-1</t>
  </si>
  <si>
    <t>2000-07-19</t>
  </si>
  <si>
    <t>1990-04-17</t>
  </si>
  <si>
    <t>24639778:eng</t>
  </si>
  <si>
    <t>17209339</t>
  </si>
  <si>
    <t>991001030829702656</t>
  </si>
  <si>
    <t>2262609760002656</t>
  </si>
  <si>
    <t>9781555861124</t>
  </si>
  <si>
    <t>32285000120773</t>
  </si>
  <si>
    <t>893346184</t>
  </si>
  <si>
    <t>BV2165 .S8 1927</t>
  </si>
  <si>
    <t>0                      BV 2165000S  8           1927</t>
  </si>
  <si>
    <t>Catholic missions in figures and symbols : based on the Vatican Missionary Exhibition / by Dr. Robert Streit, O.M.I.</t>
  </si>
  <si>
    <t>Streit, Robert, 1875-1930.</t>
  </si>
  <si>
    <t>[s.l.] : Society for the Propagation of the Faith, 1927.</t>
  </si>
  <si>
    <t>27243626:eng</t>
  </si>
  <si>
    <t>7412042</t>
  </si>
  <si>
    <t>991005110189702656</t>
  </si>
  <si>
    <t>2256894210002656</t>
  </si>
  <si>
    <t>32285000927656</t>
  </si>
  <si>
    <t>893418391</t>
  </si>
  <si>
    <t>BV2180 .C33 1965</t>
  </si>
  <si>
    <t>0                      BV 2180000C  33          1965</t>
  </si>
  <si>
    <t>The church in mission / edited by Robert E. Campbell.</t>
  </si>
  <si>
    <t>Campbell, Robert E. (Robert Edward), 1924-, editor.</t>
  </si>
  <si>
    <t>Maryknoll, N. Y. : Maryknoll Publications, [c1965]</t>
  </si>
  <si>
    <t>346990925:eng</t>
  </si>
  <si>
    <t>4030134</t>
  </si>
  <si>
    <t>991004571179702656</t>
  </si>
  <si>
    <t>2258693760002656</t>
  </si>
  <si>
    <t>32285000927664</t>
  </si>
  <si>
    <t>893536068</t>
  </si>
  <si>
    <t>BV2180 .C37 1990</t>
  </si>
  <si>
    <t>0                      BV 2180000C  37          1990</t>
  </si>
  <si>
    <t>Encyclical letter Redemptoris missio of the supreme pontiff John Paul II on the permanent validity of the church's missionary mandate.</t>
  </si>
  <si>
    <t>Catholic Church. Pope (1978-2005 : John Paul II).</t>
  </si>
  <si>
    <t>[Washington, D.C. : United States Catholic Conference, 1990].</t>
  </si>
  <si>
    <t>Publication / Office for Publishing and Promotion Services, United States Catholic Conference ; no. 424-4</t>
  </si>
  <si>
    <t>2002-07-23</t>
  </si>
  <si>
    <t>1991-04-30</t>
  </si>
  <si>
    <t>2908605061:eng</t>
  </si>
  <si>
    <t>23449518</t>
  </si>
  <si>
    <t>991001864249702656</t>
  </si>
  <si>
    <t>2269873200002656</t>
  </si>
  <si>
    <t>9781555864248</t>
  </si>
  <si>
    <t>32285000538800</t>
  </si>
  <si>
    <t>893232331</t>
  </si>
  <si>
    <t>BV2180 .C588 1998</t>
  </si>
  <si>
    <t>0                      BV 2180000C  588         1998</t>
  </si>
  <si>
    <t>From complicity to encounter : the church and the culture of economism / Jane Collier, Rafael Esteban.</t>
  </si>
  <si>
    <t>Collier, Jane, 1936-</t>
  </si>
  <si>
    <t>Harrisburg, Pa. : Trinity Press International, c1998.</t>
  </si>
  <si>
    <t>Christian mission and modern culture</t>
  </si>
  <si>
    <t>2007-08-27</t>
  </si>
  <si>
    <t>140889107:eng</t>
  </si>
  <si>
    <t>40193730</t>
  </si>
  <si>
    <t>991005057229702656</t>
  </si>
  <si>
    <t>2266952340002656</t>
  </si>
  <si>
    <t>9781563382604</t>
  </si>
  <si>
    <t>32285005322754</t>
  </si>
  <si>
    <t>893344572</t>
  </si>
  <si>
    <t>BV2180 .C653 1960</t>
  </si>
  <si>
    <t>0                      BV 2180000C  653         1960</t>
  </si>
  <si>
    <t>The mission of the church / Charles Couturier ; translated from the French by A. V. Littledale.</t>
  </si>
  <si>
    <t>Couturier, Charles.</t>
  </si>
  <si>
    <t>Baltimore : Helicon Press, [1960]</t>
  </si>
  <si>
    <t>2000-10-18</t>
  </si>
  <si>
    <t>2452560857:eng</t>
  </si>
  <si>
    <t>2453257</t>
  </si>
  <si>
    <t>991004125149702656</t>
  </si>
  <si>
    <t>2270857240002656</t>
  </si>
  <si>
    <t>32285000927706</t>
  </si>
  <si>
    <t>893712184</t>
  </si>
  <si>
    <t>BV2180 .C9</t>
  </si>
  <si>
    <t>0                      BV 2180000C  9</t>
  </si>
  <si>
    <t>The missions in war and peace / Richard J. Cushing.</t>
  </si>
  <si>
    <t>Cushing, Richard, 1895-1970.</t>
  </si>
  <si>
    <t>Boston : The Society for the Propagation of the Faith, [1944?]</t>
  </si>
  <si>
    <t>1944</t>
  </si>
  <si>
    <t>xxu</t>
  </si>
  <si>
    <t>2003-11-30</t>
  </si>
  <si>
    <t>192240492:eng</t>
  </si>
  <si>
    <t>3801723</t>
  </si>
  <si>
    <t>991004518829702656</t>
  </si>
  <si>
    <t>2263262590002656</t>
  </si>
  <si>
    <t>32285000927714</t>
  </si>
  <si>
    <t>893719014</t>
  </si>
  <si>
    <t>BV2180 .G58 1989</t>
  </si>
  <si>
    <t>0                      BV 2180000G  58          1989</t>
  </si>
  <si>
    <t>Gifts and strangers : meeting the challenge of inculturation / Anthony J. Gittins.</t>
  </si>
  <si>
    <t>Gittins, Anthony J., 1943-</t>
  </si>
  <si>
    <t>1994-12-16</t>
  </si>
  <si>
    <t>1991-02-22</t>
  </si>
  <si>
    <t>368063288:eng</t>
  </si>
  <si>
    <t>19850494</t>
  </si>
  <si>
    <t>991001508519702656</t>
  </si>
  <si>
    <t>2271790180002656</t>
  </si>
  <si>
    <t>9780809130887</t>
  </si>
  <si>
    <t>32285000492719</t>
  </si>
  <si>
    <t>893772633</t>
  </si>
  <si>
    <t>BV2180 .M84 1958</t>
  </si>
  <si>
    <t>0                      BV 2180000M  84          1958</t>
  </si>
  <si>
    <t>Teach ye all nations : the principles of Catholic missionary work / by Edward L. Murphy.</t>
  </si>
  <si>
    <t>Murphy, Edward L.</t>
  </si>
  <si>
    <t>New York : Benziger Bros., [1958]</t>
  </si>
  <si>
    <t>2001-09-13</t>
  </si>
  <si>
    <t>5879859:eng</t>
  </si>
  <si>
    <t>2712628</t>
  </si>
  <si>
    <t>991004221039702656</t>
  </si>
  <si>
    <t>2267371800002656</t>
  </si>
  <si>
    <t>32285000927797</t>
  </si>
  <si>
    <t>893525818</t>
  </si>
  <si>
    <t>BV2180 .S5 1963</t>
  </si>
  <si>
    <t>0                      BV 2180000S  5           1963</t>
  </si>
  <si>
    <t>Missions and the world crisis / Fulton J. Sheen.</t>
  </si>
  <si>
    <t>Sheen, Fulton J. (Fulton John), 1895-1979.</t>
  </si>
  <si>
    <t>Milwaukee : Bruce Pub. Co., [c1963]</t>
  </si>
  <si>
    <t>wiu</t>
  </si>
  <si>
    <t>2314648:eng</t>
  </si>
  <si>
    <t>1459150</t>
  </si>
  <si>
    <t>991003766149702656</t>
  </si>
  <si>
    <t>2255198260002656</t>
  </si>
  <si>
    <t>32285000927805</t>
  </si>
  <si>
    <t>893900324</t>
  </si>
  <si>
    <t>BV2180 .T681 1999</t>
  </si>
  <si>
    <t>0                      BV 2180000T  681         1999</t>
  </si>
  <si>
    <t>Towards a pastoral approach to culture / Pontifical Council for Culture.</t>
  </si>
  <si>
    <t>Catholic Church. Pontificium Consilium pro Cultura.</t>
  </si>
  <si>
    <t>Washington, D.C. : United States Catholic Conference, 1999.</t>
  </si>
  <si>
    <t>Publication (United States Catholic Conference) ; no. 5-349</t>
  </si>
  <si>
    <t>2006-03-09</t>
  </si>
  <si>
    <t>1999-09-22</t>
  </si>
  <si>
    <t>2279593643:eng</t>
  </si>
  <si>
    <t>42276619</t>
  </si>
  <si>
    <t>991003042439702656</t>
  </si>
  <si>
    <t>2272674090002656</t>
  </si>
  <si>
    <t>9781574553499</t>
  </si>
  <si>
    <t>32285003590410</t>
  </si>
  <si>
    <t>893592130</t>
  </si>
  <si>
    <t>BV2185 .G6 1932</t>
  </si>
  <si>
    <t>0                      BV 2185000G  6           1932</t>
  </si>
  <si>
    <t>Missions and missionaries / by Georges Goyau. Translated by the Rev. F.M. Dreves, S.S.J.</t>
  </si>
  <si>
    <t>Goyau, Georges, 1869-1939.</t>
  </si>
  <si>
    <t>London and ; Edinburgh : Sands &amp; co., 1932.</t>
  </si>
  <si>
    <t>1992-12-10</t>
  </si>
  <si>
    <t>430826333:eng</t>
  </si>
  <si>
    <t>6524781</t>
  </si>
  <si>
    <t>991004996789702656</t>
  </si>
  <si>
    <t>2259086100002656</t>
  </si>
  <si>
    <t>32285000927847</t>
  </si>
  <si>
    <t>893254309</t>
  </si>
  <si>
    <t>BV2185 .S34 1933</t>
  </si>
  <si>
    <t>0                      BV 2185000S  34          1933</t>
  </si>
  <si>
    <t>Catholic mission history / by Joseph Schmidlin ; a translation, edited by Matthias Braun.</t>
  </si>
  <si>
    <t>Schmidlin, Josef, 1876-1944.</t>
  </si>
  <si>
    <t>Techny, Ill. : Mission press, S. V. D., 1933.</t>
  </si>
  <si>
    <t>2420721:eng</t>
  </si>
  <si>
    <t>1535294</t>
  </si>
  <si>
    <t>991003810039702656</t>
  </si>
  <si>
    <t>2267511480002656</t>
  </si>
  <si>
    <t>32285000927870</t>
  </si>
  <si>
    <t>893686998</t>
  </si>
  <si>
    <t>BV225 .D8</t>
  </si>
  <si>
    <t>0                      BV 0225000D  8</t>
  </si>
  <si>
    <t>We cannot find words : the foundations of prayer / by Tad Dunne.</t>
  </si>
  <si>
    <t>Dunne, Tad, 1938-</t>
  </si>
  <si>
    <t>Denville, N.J. : Dimensions Books, c1981.</t>
  </si>
  <si>
    <t>First English edition.</t>
  </si>
  <si>
    <t>2003-03-20</t>
  </si>
  <si>
    <t>31891028:eng</t>
  </si>
  <si>
    <t>7381976</t>
  </si>
  <si>
    <t>991005108659702656</t>
  </si>
  <si>
    <t>2263368610002656</t>
  </si>
  <si>
    <t>32285000217033</t>
  </si>
  <si>
    <t>893694769</t>
  </si>
  <si>
    <t>BV225 .S2</t>
  </si>
  <si>
    <t>0                      BV 0225000S  2</t>
  </si>
  <si>
    <t>The soul in paraphrase : prayer and the religious affections / Don E. Saliers.</t>
  </si>
  <si>
    <t>Saliers, Don E., 1937-</t>
  </si>
  <si>
    <t>New York : Seabury Press, 1980.</t>
  </si>
  <si>
    <t>1996-05-28</t>
  </si>
  <si>
    <t>20357110:eng</t>
  </si>
  <si>
    <t>5798781</t>
  </si>
  <si>
    <t>991004877399702656</t>
  </si>
  <si>
    <t>2267539630002656</t>
  </si>
  <si>
    <t>9780816401215</t>
  </si>
  <si>
    <t>32285000837178</t>
  </si>
  <si>
    <t>893319744</t>
  </si>
  <si>
    <t>BV226 .P74 1995</t>
  </si>
  <si>
    <t>0                      BV 0226000P  74          1995</t>
  </si>
  <si>
    <t>Praying with our eyes open : engendering feminist liturgical prayer / Marjorie Procter-Smith.</t>
  </si>
  <si>
    <t>Procter-Smith, Marjorie.</t>
  </si>
  <si>
    <t>Nashville, TN : Abingdon Press, 1995.</t>
  </si>
  <si>
    <t>2003-04-02</t>
  </si>
  <si>
    <t>474660487:eng</t>
  </si>
  <si>
    <t>33166322</t>
  </si>
  <si>
    <t>991004006649702656</t>
  </si>
  <si>
    <t>2255969660002656</t>
  </si>
  <si>
    <t>9780687391226</t>
  </si>
  <si>
    <t>32285004689120</t>
  </si>
  <si>
    <t>893718345</t>
  </si>
  <si>
    <t>BV228 .F713 1964</t>
  </si>
  <si>
    <t>0                      BV 0228000F  713         1964</t>
  </si>
  <si>
    <t>Praying with the Bible : the Biblical bases of great Christian prayers / by Jean de Fraine. Translated by Jane Wynne Saul.</t>
  </si>
  <si>
    <t>Fraine, J. de (Jean)</t>
  </si>
  <si>
    <t>New York : Desclee Co., [1964]</t>
  </si>
  <si>
    <t>1991-12-05</t>
  </si>
  <si>
    <t>5333468:eng</t>
  </si>
  <si>
    <t>2490371</t>
  </si>
  <si>
    <t>991004137259702656</t>
  </si>
  <si>
    <t>2258888490002656</t>
  </si>
  <si>
    <t>32285000837236</t>
  </si>
  <si>
    <t>893900858</t>
  </si>
  <si>
    <t>BV228 .H2413 1971</t>
  </si>
  <si>
    <t>0                      BV 0228000H  2413        1971</t>
  </si>
  <si>
    <t>Prayer, the New Testament / [by] A. Hamman.</t>
  </si>
  <si>
    <t>Hamman, A.-G. (Adalbert-G.), 1910-2000.</t>
  </si>
  <si>
    <t>[Chicago] : Franciscan Herald Press, [1971]</t>
  </si>
  <si>
    <t>2007-04-12</t>
  </si>
  <si>
    <t>4927729148:eng</t>
  </si>
  <si>
    <t>219563</t>
  </si>
  <si>
    <t>991001295849702656</t>
  </si>
  <si>
    <t>2258176140002656</t>
  </si>
  <si>
    <t>9780819904249</t>
  </si>
  <si>
    <t>32285000837244</t>
  </si>
  <si>
    <t>893803533</t>
  </si>
  <si>
    <t>BV228 .S37 1988</t>
  </si>
  <si>
    <t>0                      BV 0228000S  37          1988</t>
  </si>
  <si>
    <t>Scripture and prayer : a celebration for Carroll Stuhlmueller / edited by Carolyn Osiek and Donald Senior.</t>
  </si>
  <si>
    <t>Wilmington, Del. : M. Glazier, 1988.</t>
  </si>
  <si>
    <t>2006-05-09</t>
  </si>
  <si>
    <t>1992-11-17</t>
  </si>
  <si>
    <t>1807079420:eng</t>
  </si>
  <si>
    <t>18763882</t>
  </si>
  <si>
    <t>991001391049702656</t>
  </si>
  <si>
    <t>2256803330002656</t>
  </si>
  <si>
    <t>9780894537400</t>
  </si>
  <si>
    <t>32285005241301</t>
  </si>
  <si>
    <t>893872505</t>
  </si>
  <si>
    <t>BV228 .S46 1968</t>
  </si>
  <si>
    <t>0                      BV 0228000S  46          1968</t>
  </si>
  <si>
    <t>The spirit speaks in us : personal prayer in the New Testament / by John Sheets.</t>
  </si>
  <si>
    <t>Sheets, John R.</t>
  </si>
  <si>
    <t>Wilkes-Barre, Pa. : Dimension Books, [c1968]</t>
  </si>
  <si>
    <t>2009-07-09</t>
  </si>
  <si>
    <t>1990-03-08</t>
  </si>
  <si>
    <t>2004-02-25</t>
  </si>
  <si>
    <t>1223959:eng</t>
  </si>
  <si>
    <t>61916</t>
  </si>
  <si>
    <t>991000169729702656</t>
  </si>
  <si>
    <t>2255185760002656</t>
  </si>
  <si>
    <t>32285005537401</t>
  </si>
  <si>
    <t>893333267</t>
  </si>
  <si>
    <t>BV228 .S76 1973</t>
  </si>
  <si>
    <t>0                      BV 0228000S  76          1973</t>
  </si>
  <si>
    <t>Boasting in the Lord : the phenomenon of prayer in Saint Paul / by David M. Stanley.</t>
  </si>
  <si>
    <t>Stanley, David Michael, 1914-</t>
  </si>
  <si>
    <t>New York : Paulist Press, [1973]</t>
  </si>
  <si>
    <t>2009-07-28</t>
  </si>
  <si>
    <t>422801740:eng</t>
  </si>
  <si>
    <t>805145</t>
  </si>
  <si>
    <t>991005328559702656</t>
  </si>
  <si>
    <t>2265386160002656</t>
  </si>
  <si>
    <t>9780809117932</t>
  </si>
  <si>
    <t>32285005539282</t>
  </si>
  <si>
    <t>893890034</t>
  </si>
  <si>
    <t>BV2280 .H2 1953</t>
  </si>
  <si>
    <t>0                      BV 2280000H  2           1953</t>
  </si>
  <si>
    <t>In journeyings often : Franciscan pioneers in the Orient.</t>
  </si>
  <si>
    <t>Habig, Marion A. (Marion Alphonse), 1901-1985.</t>
  </si>
  <si>
    <t>New York : Franciscan Institute, St. Bonaventure University, 1953.</t>
  </si>
  <si>
    <t>1953</t>
  </si>
  <si>
    <t>7458598:eng</t>
  </si>
  <si>
    <t>3100044</t>
  </si>
  <si>
    <t>991004345089702656</t>
  </si>
  <si>
    <t>2264781890002656</t>
  </si>
  <si>
    <t>32285000927920</t>
  </si>
  <si>
    <t>893343725</t>
  </si>
  <si>
    <t>BV2290 .B8 1957</t>
  </si>
  <si>
    <t>0                      BV 2290000B  8           1957</t>
  </si>
  <si>
    <t>Beyond all horizons : Jesuits and the missions / Pref. by Anne Freemantle.</t>
  </si>
  <si>
    <t>Burke, Thomas J. M., 1920-, editor.</t>
  </si>
  <si>
    <t>Garden City, N. Y. : Hanover House, [1957]</t>
  </si>
  <si>
    <t>2001-10-18</t>
  </si>
  <si>
    <t>1990-05-07</t>
  </si>
  <si>
    <t>2192480:eng</t>
  </si>
  <si>
    <t>1266400</t>
  </si>
  <si>
    <t>991003659509702656</t>
  </si>
  <si>
    <t>2261314610002656</t>
  </si>
  <si>
    <t>32285000149392</t>
  </si>
  <si>
    <t>893324316</t>
  </si>
  <si>
    <t>BV2290 .P513 1952</t>
  </si>
  <si>
    <t>0                      BV 2290000P  513         1952</t>
  </si>
  <si>
    <t>Jesuits go East.</t>
  </si>
  <si>
    <t>Plattner, Felix Alfred, 1906-1974.</t>
  </si>
  <si>
    <t>Westminster, Md. : Newman Press, 1952.</t>
  </si>
  <si>
    <t>2008-04-08</t>
  </si>
  <si>
    <t>4160646393:eng</t>
  </si>
  <si>
    <t>384149</t>
  </si>
  <si>
    <t>991002640519702656</t>
  </si>
  <si>
    <t>2256345030002656</t>
  </si>
  <si>
    <t>32285000927979</t>
  </si>
  <si>
    <t>893704309</t>
  </si>
  <si>
    <t>BV2290 .Z3</t>
  </si>
  <si>
    <t>0                      BV 2290000Z  3</t>
  </si>
  <si>
    <t>Les Jésuites de la Russie-Blanche / par Stanislas Zalenski ; ouvrage traduit du polonais par Alexandre Vivier.</t>
  </si>
  <si>
    <t>Załęski, Stanisław.</t>
  </si>
  <si>
    <t>Paris : Letouzey et Ané, [1886?]</t>
  </si>
  <si>
    <t xml:space="preserve">fr </t>
  </si>
  <si>
    <t>2006-01-05</t>
  </si>
  <si>
    <t>426111197:fre</t>
  </si>
  <si>
    <t>5719273</t>
  </si>
  <si>
    <t>991004862779702656</t>
  </si>
  <si>
    <t>2258301010002656</t>
  </si>
  <si>
    <t>32285000927995</t>
  </si>
  <si>
    <t>893236006</t>
  </si>
  <si>
    <t>32285000928001</t>
  </si>
  <si>
    <t>893229934</t>
  </si>
  <si>
    <t>BV2290.A63 C3 1999</t>
  </si>
  <si>
    <t>0                      BV 2290000A  63                 C  3           1999</t>
  </si>
  <si>
    <t>The beginning of Acadia, 1602-1616 / by Lucien Campeau ; translated by William P. Lonc and George F. Topp.</t>
  </si>
  <si>
    <t>V. 1</t>
  </si>
  <si>
    <t>Campeau, Lucien.</t>
  </si>
  <si>
    <t>Bridgetown, N.S., Canada : Gontran Trottier, c1999-</t>
  </si>
  <si>
    <t>nsc</t>
  </si>
  <si>
    <t>2003-03-25</t>
  </si>
  <si>
    <t>354622139:eng</t>
  </si>
  <si>
    <t>43801212</t>
  </si>
  <si>
    <t>991003978389702656</t>
  </si>
  <si>
    <t>2257419550002656</t>
  </si>
  <si>
    <t>9781894438001</t>
  </si>
  <si>
    <t>32285004685888</t>
  </si>
  <si>
    <t>893599277</t>
  </si>
  <si>
    <t>V. 3</t>
  </si>
  <si>
    <t>32285004685904</t>
  </si>
  <si>
    <t>893624188</t>
  </si>
  <si>
    <t>V. 2</t>
  </si>
  <si>
    <t>32285004685896</t>
  </si>
  <si>
    <t>893599276</t>
  </si>
  <si>
    <t>BV230 .B44 1908</t>
  </si>
  <si>
    <t>0                      BV 0230000B  44          1908</t>
  </si>
  <si>
    <t>The Lord's prayer and the Hail Mary : points for meditation / by Stephen Beissel.</t>
  </si>
  <si>
    <t>Beissel, Stephan, 1841-1915.</t>
  </si>
  <si>
    <t>St. Louis ; Freiburg (Baden) : B. Herder ; London ; Edinburgh : Sands, 1908.</t>
  </si>
  <si>
    <t>1908</t>
  </si>
  <si>
    <t>2003-07-09</t>
  </si>
  <si>
    <t>43265618:eng</t>
  </si>
  <si>
    <t>7471798</t>
  </si>
  <si>
    <t>991005118729702656</t>
  </si>
  <si>
    <t>2266935500002656</t>
  </si>
  <si>
    <t>32285000837301</t>
  </si>
  <si>
    <t>893320053</t>
  </si>
  <si>
    <t>BV230 .C18 1969</t>
  </si>
  <si>
    <t>0                      BV 0230000C  18          1969</t>
  </si>
  <si>
    <t>Recherches sur le "Notre Père" / Jean Carmignac.</t>
  </si>
  <si>
    <t>Carmignac, Jean.</t>
  </si>
  <si>
    <t>Paris : Letouzey &amp; Ané, 1969.</t>
  </si>
  <si>
    <t>2004-11-10</t>
  </si>
  <si>
    <t>1884661:fre</t>
  </si>
  <si>
    <t>932719</t>
  </si>
  <si>
    <t>991003394189702656</t>
  </si>
  <si>
    <t>2272196860002656</t>
  </si>
  <si>
    <t>32285000837335</t>
  </si>
  <si>
    <t>893611006</t>
  </si>
  <si>
    <t>BV230 .C75 2002</t>
  </si>
  <si>
    <t>0                      BV 0230000C  75          2002</t>
  </si>
  <si>
    <t>The prayer that Jesus taught us / Michael H. Crosby.</t>
  </si>
  <si>
    <t>Crosby, Michael, 1940-</t>
  </si>
  <si>
    <t>Maryknoll, N.Y. : Orbis Books, c2002.</t>
  </si>
  <si>
    <t>2008-04-21</t>
  </si>
  <si>
    <t>2002-08-22</t>
  </si>
  <si>
    <t>1052423:eng</t>
  </si>
  <si>
    <t>48851167</t>
  </si>
  <si>
    <t>991003841199702656</t>
  </si>
  <si>
    <t>2261873110002656</t>
  </si>
  <si>
    <t>9781570754098</t>
  </si>
  <si>
    <t>32285004644745</t>
  </si>
  <si>
    <t>893499772</t>
  </si>
  <si>
    <t>BV230 .D684 1994</t>
  </si>
  <si>
    <t>0                      BV 0230000D  684         1994</t>
  </si>
  <si>
    <t>Prayers of the cosmos : meditations on the Aramaic words of Jesus / translated and with commentary by Neil Douglas-Klotz ; foreword by Matthew Fox.</t>
  </si>
  <si>
    <t>Douglas-Klotz, Neil.</t>
  </si>
  <si>
    <t>San Francisco : Harper, c1994.</t>
  </si>
  <si>
    <t>1st HarperCollins pbk. ed.</t>
  </si>
  <si>
    <t>2010-07-20</t>
  </si>
  <si>
    <t>2008-09-10</t>
  </si>
  <si>
    <t>155525958:eng</t>
  </si>
  <si>
    <t>30381631</t>
  </si>
  <si>
    <t>991005263709702656</t>
  </si>
  <si>
    <t>2269004290002656</t>
  </si>
  <si>
    <t>9780060619954</t>
  </si>
  <si>
    <t>32285005457808</t>
  </si>
  <si>
    <t>893722868</t>
  </si>
  <si>
    <t>BV230 .E853 1965b</t>
  </si>
  <si>
    <t>0                      BV 0230000E  853         1965b</t>
  </si>
  <si>
    <t>We dare to say Our Father / Louis Evely. [Translated by James Langdale.</t>
  </si>
  <si>
    <t>2006-10-06</t>
  </si>
  <si>
    <t>5090685004:eng</t>
  </si>
  <si>
    <t>1684630</t>
  </si>
  <si>
    <t>991003868369702656</t>
  </si>
  <si>
    <t>2272737040002656</t>
  </si>
  <si>
    <t>32285001074490</t>
  </si>
  <si>
    <t>893617883</t>
  </si>
  <si>
    <t>BV230 .G773 1958</t>
  </si>
  <si>
    <t>0                      BV 0230000G  773         1958</t>
  </si>
  <si>
    <t>The Lord's prayer / by Romano Guardini. Translated from the German by Isabel McHugh.</t>
  </si>
  <si>
    <t>[New York] : Pantheon Books, [1958]</t>
  </si>
  <si>
    <t>4494885784:eng</t>
  </si>
  <si>
    <t>772184</t>
  </si>
  <si>
    <t>991003247369702656</t>
  </si>
  <si>
    <t>2264291170002656</t>
  </si>
  <si>
    <t>32285000837376</t>
  </si>
  <si>
    <t>893410079</t>
  </si>
  <si>
    <t>BV230 .H327 1993</t>
  </si>
  <si>
    <t>0                      BV 0230000H  327         1993</t>
  </si>
  <si>
    <t>Swimming in the sun : discovering the Lord's Prayer with Francis of Assisi and Thomas Merton / Albert Haase, O.F.M.</t>
  </si>
  <si>
    <t>Haase, Albert, 1955-</t>
  </si>
  <si>
    <t>Cincinnati : St. Anthony Messenger Pr., c1993.</t>
  </si>
  <si>
    <t>ohu</t>
  </si>
  <si>
    <t>2009-05-21</t>
  </si>
  <si>
    <t>1999-01-21</t>
  </si>
  <si>
    <t>31643393:eng</t>
  </si>
  <si>
    <t>28947557</t>
  </si>
  <si>
    <t>991002244249702656</t>
  </si>
  <si>
    <t>2256811460002656</t>
  </si>
  <si>
    <t>9780867161939</t>
  </si>
  <si>
    <t>32285003514568</t>
  </si>
  <si>
    <t>893523375</t>
  </si>
  <si>
    <t>BV230 .L399</t>
  </si>
  <si>
    <t>0                      BV 0230000L  399</t>
  </si>
  <si>
    <t>When we pray : meditations on the Lord's prayer / Eugene Laverdiere.</t>
  </si>
  <si>
    <t>LaVerdiere, Eugene.</t>
  </si>
  <si>
    <t>Notre Dame, Ind. : Ave Maria Press, c1983.</t>
  </si>
  <si>
    <t>2001-04-05</t>
  </si>
  <si>
    <t>43679662:eng</t>
  </si>
  <si>
    <t>9138605</t>
  </si>
  <si>
    <t>991000137189702656</t>
  </si>
  <si>
    <t>2264470220002656</t>
  </si>
  <si>
    <t>9780877932635</t>
  </si>
  <si>
    <t>32285000837384</t>
  </si>
  <si>
    <t>893777718</t>
  </si>
  <si>
    <t>BV230 .M3 1984</t>
  </si>
  <si>
    <t>0                      BV 0230000M  3           1984</t>
  </si>
  <si>
    <t>Can we still call God "Father"? : a woman looks at the Lord's Prayer today / by Céline Mangan.</t>
  </si>
  <si>
    <t>Mangan, Céline.</t>
  </si>
  <si>
    <t>Wilmington, Del. : Michael Glazier, 1984.</t>
  </si>
  <si>
    <t>Ways of prayer series ; v. 12</t>
  </si>
  <si>
    <t>1995-04-22</t>
  </si>
  <si>
    <t>429213535:eng</t>
  </si>
  <si>
    <t>11040681</t>
  </si>
  <si>
    <t>991000477819702656</t>
  </si>
  <si>
    <t>2258172450002656</t>
  </si>
  <si>
    <t>32285000837392</t>
  </si>
  <si>
    <t>893444334</t>
  </si>
  <si>
    <t>BV230 .T42</t>
  </si>
  <si>
    <t>0                      BV 0230000T  42</t>
  </si>
  <si>
    <t>The Pater Noster of Saint Teresa, a commentary on the Lord's prayer, by Saint Teresa of Avila, translated and adapted by William J. Doheny. With a preface by the Most Rev. Moses E. Kiley.</t>
  </si>
  <si>
    <t>Teresa, of Avila, Saint, 1515-1582.</t>
  </si>
  <si>
    <t>Milwaukee, The Bruce publishing company [c1942]</t>
  </si>
  <si>
    <t>1942</t>
  </si>
  <si>
    <t>8908330559:eng</t>
  </si>
  <si>
    <t>3318045</t>
  </si>
  <si>
    <t>991004405049702656</t>
  </si>
  <si>
    <t>2268073930002656</t>
  </si>
  <si>
    <t>32285000837426</t>
  </si>
  <si>
    <t>893337690</t>
  </si>
  <si>
    <t>BV230 .T6 1943</t>
  </si>
  <si>
    <t>0                      BV 0230000T  6           1943</t>
  </si>
  <si>
    <t>The Our Father : a course of sermons / by Most Rev. Tihamer Toth, translated by V. G. Agotai, edited by Rev. Newton Thompson, s.t.d.</t>
  </si>
  <si>
    <t>Tóth, Tihamér, 1889-1939.</t>
  </si>
  <si>
    <t>St. Louis, Mo. ; London : B. Herder book co., 1943.</t>
  </si>
  <si>
    <t>1943</t>
  </si>
  <si>
    <t>1996-02-22</t>
  </si>
  <si>
    <t>6130598:eng</t>
  </si>
  <si>
    <t>2734844</t>
  </si>
  <si>
    <t>991004227069702656</t>
  </si>
  <si>
    <t>2256664430002656</t>
  </si>
  <si>
    <t>32285000837442</t>
  </si>
  <si>
    <t>893599584</t>
  </si>
  <si>
    <t>BV230 .V455 1955</t>
  </si>
  <si>
    <t>0                      BV 0230000V  455         1955</t>
  </si>
  <si>
    <t>The Our Father / by Leon Veuthey ; translated by James Meyer.</t>
  </si>
  <si>
    <t>Veuthey, Léon, 1896-1974.</t>
  </si>
  <si>
    <t>Chicago : Franciscan Herald Press, [1955]</t>
  </si>
  <si>
    <t>Franciscan spirituality, no. 2</t>
  </si>
  <si>
    <t>2000-10-08</t>
  </si>
  <si>
    <t>27898490:eng</t>
  </si>
  <si>
    <t>4181446</t>
  </si>
  <si>
    <t>991004602379702656</t>
  </si>
  <si>
    <t>2267911040002656</t>
  </si>
  <si>
    <t>32285000837467</t>
  </si>
  <si>
    <t>893795031</t>
  </si>
  <si>
    <t>BV2300.S53 W55 1999</t>
  </si>
  <si>
    <t>0                      BV 2300000S  53                 W  55          1999</t>
  </si>
  <si>
    <t>The singer &amp; the song : an autobiography of the spirit / Miriam Therese Winter.</t>
  </si>
  <si>
    <t>Winter, Miriam Therese.</t>
  </si>
  <si>
    <t>Maryknoll, N.Y. : Orbis Books, c1999.</t>
  </si>
  <si>
    <t>2000-06-27</t>
  </si>
  <si>
    <t>1999-09-29</t>
  </si>
  <si>
    <t>4132963578:eng</t>
  </si>
  <si>
    <t>41156536</t>
  </si>
  <si>
    <t>991005430269702656</t>
  </si>
  <si>
    <t>2261577570002656</t>
  </si>
  <si>
    <t>9781570752797</t>
  </si>
  <si>
    <t>32285003591673</t>
  </si>
  <si>
    <t>893502024</t>
  </si>
  <si>
    <t>BV2300.W5 K5 1957</t>
  </si>
  <si>
    <t>0                      BV 2300000W  5                  K  5           1957</t>
  </si>
  <si>
    <t>The White Fathers / Introd. by Bishop Laurian Rugambwa.</t>
  </si>
  <si>
    <t>Kittler, Glenn D.</t>
  </si>
  <si>
    <t>New York : Harper, [1957]</t>
  </si>
  <si>
    <t>2005-04-19</t>
  </si>
  <si>
    <t>1689690:eng</t>
  </si>
  <si>
    <t>776112</t>
  </si>
  <si>
    <t>991003251279702656</t>
  </si>
  <si>
    <t>2268490680002656</t>
  </si>
  <si>
    <t>32285000928084</t>
  </si>
  <si>
    <t>893623306</t>
  </si>
  <si>
    <t>BV234 .S8</t>
  </si>
  <si>
    <t>0                      BV 0234000S  8</t>
  </si>
  <si>
    <t>Jesus in Gethsemane / David M. Stanley.</t>
  </si>
  <si>
    <t>An Exploration book</t>
  </si>
  <si>
    <t>2001-03-02</t>
  </si>
  <si>
    <t>23733995:eng</t>
  </si>
  <si>
    <t>6709377</t>
  </si>
  <si>
    <t>991005030409702656</t>
  </si>
  <si>
    <t>2256627380002656</t>
  </si>
  <si>
    <t>9780809122851</t>
  </si>
  <si>
    <t>32285000837475</t>
  </si>
  <si>
    <t>893713340</t>
  </si>
  <si>
    <t>BV236 .M33 1988</t>
  </si>
  <si>
    <t>0                      BV 0236000M  33          1988</t>
  </si>
  <si>
    <t>The Macmillan book of earliest Christian prayers / edited by F. Forrester Church and Terrence J. Mulry.</t>
  </si>
  <si>
    <t>New York : Macmillan ; London : Collier Macmillan, c1988.</t>
  </si>
  <si>
    <t>1993-07-17</t>
  </si>
  <si>
    <t>430762184:eng</t>
  </si>
  <si>
    <t>16901310</t>
  </si>
  <si>
    <t>991001162799702656</t>
  </si>
  <si>
    <t>2268464190002656</t>
  </si>
  <si>
    <t>9780025255708</t>
  </si>
  <si>
    <t>32285000837509</t>
  </si>
  <si>
    <t>893340202</t>
  </si>
  <si>
    <t>BV245 .B32 1982</t>
  </si>
  <si>
    <t>0                      BV 0245000B  32          1982</t>
  </si>
  <si>
    <t>Everyday prayers / William Barclay.</t>
  </si>
  <si>
    <t>Barclay, William, 1907-1978.</t>
  </si>
  <si>
    <t>San Francisco : Harper &amp; Row, [1982], c1959.</t>
  </si>
  <si>
    <t>2010-06-29</t>
  </si>
  <si>
    <t>570067:eng</t>
  </si>
  <si>
    <t>7553907</t>
  </si>
  <si>
    <t>991000015759702656</t>
  </si>
  <si>
    <t>2265085300002656</t>
  </si>
  <si>
    <t>9780060604110</t>
  </si>
  <si>
    <t>32285005589170</t>
  </si>
  <si>
    <t>893521308</t>
  </si>
  <si>
    <t>BV245 .C35 1969</t>
  </si>
  <si>
    <t>0                      BV 0245000C  35          1969</t>
  </si>
  <si>
    <t>Tender of wishes : the prayers of a young priest / James Carroll.</t>
  </si>
  <si>
    <t>Carroll, James, 1943-</t>
  </si>
  <si>
    <t>Paramus, N.J. : Newman Press, c1969.</t>
  </si>
  <si>
    <t>2003-04-03</t>
  </si>
  <si>
    <t>2242727:eng</t>
  </si>
  <si>
    <t>14191886</t>
  </si>
  <si>
    <t>991000920079702656</t>
  </si>
  <si>
    <t>2256933830002656</t>
  </si>
  <si>
    <t>32285000837517</t>
  </si>
  <si>
    <t>893715017</t>
  </si>
  <si>
    <t>BV245 .C628 1997</t>
  </si>
  <si>
    <t>0                      BV 0245000C  628         1997</t>
  </si>
  <si>
    <t>The complete book of Christian prayer.</t>
  </si>
  <si>
    <t>New York : Continuum Publishing Co., 1997.</t>
  </si>
  <si>
    <t>1997</t>
  </si>
  <si>
    <t>2004-07-16</t>
  </si>
  <si>
    <t>1999-01-28</t>
  </si>
  <si>
    <t>56139192:eng</t>
  </si>
  <si>
    <t>36188057</t>
  </si>
  <si>
    <t>991005425609702656</t>
  </si>
  <si>
    <t>2266273840002656</t>
  </si>
  <si>
    <t>9780826408723</t>
  </si>
  <si>
    <t>32285003516993</t>
  </si>
  <si>
    <t>893619984</t>
  </si>
  <si>
    <t>BV245 .H57 1973</t>
  </si>
  <si>
    <t>0                      BV 0245000H  57          1973</t>
  </si>
  <si>
    <t>It's me, O Lord! : New prayers for every day / by Michael Hollings and Etta Gullick. Illustrated by Paul Shuttleworth.</t>
  </si>
  <si>
    <t>Hollings, Michael.</t>
  </si>
  <si>
    <t>Garden City, N.Y. : Doubleday, 1973.</t>
  </si>
  <si>
    <t>1992-12-08</t>
  </si>
  <si>
    <t>1705270:eng</t>
  </si>
  <si>
    <t>721715</t>
  </si>
  <si>
    <t>991003196289702656</t>
  </si>
  <si>
    <t>2258939230002656</t>
  </si>
  <si>
    <t>9780385041416</t>
  </si>
  <si>
    <t>32285000837533</t>
  </si>
  <si>
    <t>893511663</t>
  </si>
  <si>
    <t>BV245 .J62 1996</t>
  </si>
  <si>
    <t>0                      BV 0245000J  62          1996</t>
  </si>
  <si>
    <t>The prayers of Pope John Paul II / selected and arranged by Paul Thigpen.</t>
  </si>
  <si>
    <t>John Paul II, Pope, 1920-2005.</t>
  </si>
  <si>
    <t>Ann Arbor, Mich. : Servant Publications, c1996.</t>
  </si>
  <si>
    <t>2000-07-24</t>
  </si>
  <si>
    <t>1997-03-12</t>
  </si>
  <si>
    <t>3144677928:eng</t>
  </si>
  <si>
    <t>34150058</t>
  </si>
  <si>
    <t>991002606829702656</t>
  </si>
  <si>
    <t>2261358850002656</t>
  </si>
  <si>
    <t>9780892839636</t>
  </si>
  <si>
    <t>32285002442050</t>
  </si>
  <si>
    <t>893257501</t>
  </si>
  <si>
    <t>BV245 .L55 1997</t>
  </si>
  <si>
    <t>0                      BV 0245000L  55          1997</t>
  </si>
  <si>
    <t>The Doubleday prayer collection / selected and arranged by Mary Batchelor.</t>
  </si>
  <si>
    <t>Lion prayer collection.</t>
  </si>
  <si>
    <t>New York : Doubleday, 1997.</t>
  </si>
  <si>
    <t>1st ed. in the U.S.</t>
  </si>
  <si>
    <t>2006-09-14</t>
  </si>
  <si>
    <t>1998-08-13</t>
  </si>
  <si>
    <t>892361985:eng</t>
  </si>
  <si>
    <t>36656504</t>
  </si>
  <si>
    <t>991002791439702656</t>
  </si>
  <si>
    <t>2265533710002656</t>
  </si>
  <si>
    <t>9780385488471</t>
  </si>
  <si>
    <t>32285003453239</t>
  </si>
  <si>
    <t>893627307</t>
  </si>
  <si>
    <t>BV245 .M37 1987</t>
  </si>
  <si>
    <t>0                      BV 0245000M  37          1987</t>
  </si>
  <si>
    <t>Journeying with the Lord ; reflections for every day / Carlo Maria Martini.</t>
  </si>
  <si>
    <t>Martini, Carlo Maria, 1927-2012.</t>
  </si>
  <si>
    <t>New York : Alba House, 1987.</t>
  </si>
  <si>
    <t>2002-06-05</t>
  </si>
  <si>
    <t>1989-10-24</t>
  </si>
  <si>
    <t>2023816:eng</t>
  </si>
  <si>
    <t>16931317</t>
  </si>
  <si>
    <t>991001168249702656</t>
  </si>
  <si>
    <t>2256337910002656</t>
  </si>
  <si>
    <t>9780818905087</t>
  </si>
  <si>
    <t>32285000010339</t>
  </si>
  <si>
    <t>893250027</t>
  </si>
  <si>
    <t>BV245 .N494 1997</t>
  </si>
  <si>
    <t>0                      BV 0245000N  494         1997</t>
  </si>
  <si>
    <t>Celtic prayers from Iona / J. Philip Newell.</t>
  </si>
  <si>
    <t>Newell, J. Philip.</t>
  </si>
  <si>
    <t>New York : Paulist Press, c1997.</t>
  </si>
  <si>
    <t>2004-06-11</t>
  </si>
  <si>
    <t>1998-01-12</t>
  </si>
  <si>
    <t>616851:eng</t>
  </si>
  <si>
    <t>35955185</t>
  </si>
  <si>
    <t>991002737979702656</t>
  </si>
  <si>
    <t>2271788140002656</t>
  </si>
  <si>
    <t>9780809104888</t>
  </si>
  <si>
    <t>32285003302931</t>
  </si>
  <si>
    <t>893323306</t>
  </si>
  <si>
    <t>BV2521 .M37 1989</t>
  </si>
  <si>
    <t>0                      BV 2521000M  37          1989</t>
  </si>
  <si>
    <t>Black Baptists and African missions : the origins of a movement, 1880-1915 / Sandy D. Martin.</t>
  </si>
  <si>
    <t>Martin, Sandy Dwayne.</t>
  </si>
  <si>
    <t>Macon, Ga. : Mercer, c1989.</t>
  </si>
  <si>
    <t>1998-12-13</t>
  </si>
  <si>
    <t>1993-09-28</t>
  </si>
  <si>
    <t>22129520:eng</t>
  </si>
  <si>
    <t>20264054</t>
  </si>
  <si>
    <t>991001555949702656</t>
  </si>
  <si>
    <t>2259810280002656</t>
  </si>
  <si>
    <t>9780865543539</t>
  </si>
  <si>
    <t>32285001768141</t>
  </si>
  <si>
    <t>893439208</t>
  </si>
  <si>
    <t>BV260 .K5 1963</t>
  </si>
  <si>
    <t>0                      BV 0260000K  5           1963</t>
  </si>
  <si>
    <t>The prayers of Kierkegaard / edited and with a new interpretation of his life and thought by Perry D. Le Fevre.</t>
  </si>
  <si>
    <t>Kierkegaard, Søren, 1813-1855.</t>
  </si>
  <si>
    <t>Chicago : University of Chicago Press, 1963, c1956.</t>
  </si>
  <si>
    <t>1st Phoenix ed.</t>
  </si>
  <si>
    <t>Phoenix books</t>
  </si>
  <si>
    <t>1993-03-06</t>
  </si>
  <si>
    <t>6824540:eng</t>
  </si>
  <si>
    <t>4843679</t>
  </si>
  <si>
    <t>991004733749702656</t>
  </si>
  <si>
    <t>2267836250002656</t>
  </si>
  <si>
    <t>9780226470573</t>
  </si>
  <si>
    <t>32285000837574</t>
  </si>
  <si>
    <t>893810669</t>
  </si>
  <si>
    <t>BV2620 .C57 1995</t>
  </si>
  <si>
    <t>0                      BV 2620000C  57          1995</t>
  </si>
  <si>
    <t>The politics of conversion : missionary Protestantism and the Jews in Prussia, 1728-1941 / Christopher M. Clark.</t>
  </si>
  <si>
    <t>Clark, Christopher M.</t>
  </si>
  <si>
    <t>Oxford : Clarendon Press ; New York : Oxford University Press, 1995.</t>
  </si>
  <si>
    <t>2004-03-02</t>
  </si>
  <si>
    <t>334952846:eng</t>
  </si>
  <si>
    <t>32282890</t>
  </si>
  <si>
    <t>991004232819702656</t>
  </si>
  <si>
    <t>2267838180002656</t>
  </si>
  <si>
    <t>9780198204565</t>
  </si>
  <si>
    <t>32285004891346</t>
  </si>
  <si>
    <t>893349767</t>
  </si>
  <si>
    <t>BV2620 .D3 1943</t>
  </si>
  <si>
    <t>0                      BV 2620000D  3           1943</t>
  </si>
  <si>
    <t>Our friends, the Jews ; or, the confessions of a proselytizer / by Arthur Day.</t>
  </si>
  <si>
    <t>Day, A. F. (Arthur Francis), 1866-</t>
  </si>
  <si>
    <t>London : Burns, Oates and Washbourne Ltd., [1943]</t>
  </si>
  <si>
    <t>1996-06-07</t>
  </si>
  <si>
    <t>372823458:eng</t>
  </si>
  <si>
    <t>630062</t>
  </si>
  <si>
    <t>991003077329702656</t>
  </si>
  <si>
    <t>2262358570002656</t>
  </si>
  <si>
    <t>32285000928142</t>
  </si>
  <si>
    <t>893428419</t>
  </si>
  <si>
    <t>BV2625 .K43 1988</t>
  </si>
  <si>
    <t>0                      BV 2625000K  43          1988</t>
  </si>
  <si>
    <t>Crusade and mission : European approaches toward the Muslims / Benjamin Z. Kedar.</t>
  </si>
  <si>
    <t>Ḳedar, B. Z.</t>
  </si>
  <si>
    <t>Princeton, N.J. : Princeton University Press, 1988, c1984.</t>
  </si>
  <si>
    <t>1995-05-06</t>
  </si>
  <si>
    <t>42506547:eng</t>
  </si>
  <si>
    <t>19746504</t>
  </si>
  <si>
    <t>991001495489702656</t>
  </si>
  <si>
    <t>2263685920002656</t>
  </si>
  <si>
    <t>32285002055274</t>
  </si>
  <si>
    <t>893621427</t>
  </si>
  <si>
    <t>BV2695.E4 C37 1987</t>
  </si>
  <si>
    <t>0                      BV 2695000E  4                  C  37          1987</t>
  </si>
  <si>
    <t>Together a new people : pastoral statement on migrants and refugees.</t>
  </si>
  <si>
    <t>Catholic Church. National Conference of Catholic Bishops. Committee on Migration and Tourism.</t>
  </si>
  <si>
    <t>Washington, D.C. : Office of Publishing and Promotion Services, United States Catholic Conference, c1987.</t>
  </si>
  <si>
    <t>2010-03-09</t>
  </si>
  <si>
    <t>15544281:eng</t>
  </si>
  <si>
    <t>17209340</t>
  </si>
  <si>
    <t>991001044759702656</t>
  </si>
  <si>
    <t>2265379220002656</t>
  </si>
  <si>
    <t>9781555861476</t>
  </si>
  <si>
    <t>32285000928209</t>
  </si>
  <si>
    <t>893237830</t>
  </si>
  <si>
    <t>BV2695.T6 C3</t>
  </si>
  <si>
    <t>0                      BV 2695000T  6                  C  3</t>
  </si>
  <si>
    <t>Letter to episcopal conferences on the Church and people on the move : May 4, 1978 / Pontifical Commission for the Pastoral Care of Migrant and Itinerant Peoples. --</t>
  </si>
  <si>
    <t>Catholic Church. Pontificia Commissio de Spirituali Migratorum atque Itinerantium Cura.</t>
  </si>
  <si>
    <t>Washington : United States Catholic Conference, 1978.</t>
  </si>
  <si>
    <t>1809910881:eng</t>
  </si>
  <si>
    <t>4318501</t>
  </si>
  <si>
    <t>991004623559702656</t>
  </si>
  <si>
    <t>2269871520002656</t>
  </si>
  <si>
    <t>32285000928217</t>
  </si>
  <si>
    <t>893519857</t>
  </si>
  <si>
    <t>BV270 .B3 1982</t>
  </si>
  <si>
    <t>0                      BV 0270000B  3           1982</t>
  </si>
  <si>
    <t>Prayers for help and healing / William Barclay.</t>
  </si>
  <si>
    <t>San Francisco : Harper &amp; Row, [1982] c1968.</t>
  </si>
  <si>
    <t>2010-07-01</t>
  </si>
  <si>
    <t>1139558:eng</t>
  </si>
  <si>
    <t>8451141</t>
  </si>
  <si>
    <t>991000017599702656</t>
  </si>
  <si>
    <t>2266091200002656</t>
  </si>
  <si>
    <t>9780060604813</t>
  </si>
  <si>
    <t>32285005589451</t>
  </si>
  <si>
    <t>893871328</t>
  </si>
  <si>
    <t>BV2750 .C45 2002</t>
  </si>
  <si>
    <t>0                      BV 2750000C  45          2002</t>
  </si>
  <si>
    <t>Christian missionaries &amp; the state in the Third World / edited by Holger Brent Hansen &amp; Michael Twaddle.</t>
  </si>
  <si>
    <t>Oxford : James Currey ; Athens, Ohio : Ohio University Press, 2002.</t>
  </si>
  <si>
    <t>2006-11-17</t>
  </si>
  <si>
    <t>2002-09-24</t>
  </si>
  <si>
    <t>366195531:eng</t>
  </si>
  <si>
    <t>47824041</t>
  </si>
  <si>
    <t>991003865949702656</t>
  </si>
  <si>
    <t>2262918400002656</t>
  </si>
  <si>
    <t>9780821414255</t>
  </si>
  <si>
    <t>32285004648332</t>
  </si>
  <si>
    <t>893423068</t>
  </si>
  <si>
    <t>BV2765 .G62 1971</t>
  </si>
  <si>
    <t>0                      BV 2765000G  62          1971</t>
  </si>
  <si>
    <t>Home missions on the American frontier, with particular reference to the American Home Missionary Society / by Colin Brummitt Goodykoontz.</t>
  </si>
  <si>
    <t>Goodykoontz, Colin Brummitt, 1885-1958.</t>
  </si>
  <si>
    <t>New York, Octagon Books, 1971 [c1939]</t>
  </si>
  <si>
    <t>1992-11-10</t>
  </si>
  <si>
    <t>1326111:eng</t>
  </si>
  <si>
    <t>146406</t>
  </si>
  <si>
    <t>991000826869702656</t>
  </si>
  <si>
    <t>2256349530002656</t>
  </si>
  <si>
    <t>32285000928225</t>
  </si>
  <si>
    <t>893696205</t>
  </si>
  <si>
    <t>BV2765.5.P66 R46 1985</t>
  </si>
  <si>
    <t>0                      BV 2765500P  66                 R  46          1985</t>
  </si>
  <si>
    <t>The KNOM/Father Jim Poole story / by Louis L. Renner.</t>
  </si>
  <si>
    <t>Renner, Louis L., 1926-</t>
  </si>
  <si>
    <t>Portland, Or. : Binford &amp; Mort Pub., 1985.</t>
  </si>
  <si>
    <t>oru</t>
  </si>
  <si>
    <t>1992-02-20</t>
  </si>
  <si>
    <t>7122552:eng</t>
  </si>
  <si>
    <t>13217983</t>
  </si>
  <si>
    <t>991000799569702656</t>
  </si>
  <si>
    <t>2259940920002656</t>
  </si>
  <si>
    <t>9780832304446</t>
  </si>
  <si>
    <t>32285000928233</t>
  </si>
  <si>
    <t>893528395</t>
  </si>
  <si>
    <t>BV2783 .D4 1946</t>
  </si>
  <si>
    <t>0                      BV 2783000D  4           1946</t>
  </si>
  <si>
    <t>Friendship house / by Catherine De Hueck.</t>
  </si>
  <si>
    <t>Doherty, Catherine de Hueck, 1896-1985.</t>
  </si>
  <si>
    <t>New York : Sheed and Ward, 1946.</t>
  </si>
  <si>
    <t>1946</t>
  </si>
  <si>
    <t>1995-04-12</t>
  </si>
  <si>
    <t>28896495:eng</t>
  </si>
  <si>
    <t>1912287</t>
  </si>
  <si>
    <t>991003935459702656</t>
  </si>
  <si>
    <t>2255302380002656</t>
  </si>
  <si>
    <t>32285000928266</t>
  </si>
  <si>
    <t>893331008</t>
  </si>
  <si>
    <t>BV2788.H56 C371 1985</t>
  </si>
  <si>
    <t>0                      BV 2788000H  56                 C  371         1985</t>
  </si>
  <si>
    <t>A Blessing from God = Una Bendicibon de Dios / National Conference of Catholic Bishops.</t>
  </si>
  <si>
    <t>Catholic Church. National Conference of Catholic Bishops.</t>
  </si>
  <si>
    <t>Washington, D.C. (1312 Massachusetts Ave., N.W., Washington 20005) : United States Catholic Conference, c1985.</t>
  </si>
  <si>
    <t>United States Catholic Conference. Publication ; no. 963.</t>
  </si>
  <si>
    <t>2005-08-17</t>
  </si>
  <si>
    <t>66266019:eng</t>
  </si>
  <si>
    <t>12769119</t>
  </si>
  <si>
    <t>991000735559702656</t>
  </si>
  <si>
    <t>2267661820002656</t>
  </si>
  <si>
    <t>32285000928282</t>
  </si>
  <si>
    <t>893790804</t>
  </si>
  <si>
    <t>BV283.S3 P74 1998</t>
  </si>
  <si>
    <t>0                      BV 0283000S  3                  P  74          1998</t>
  </si>
  <si>
    <t>Prayers for the classroom / Philip A. Verhalen, editor ; foreword by Rembert G. Weakland.</t>
  </si>
  <si>
    <t>Collegeville, Minn. : Liturgical Press, c1998.</t>
  </si>
  <si>
    <t>2008-09-05</t>
  </si>
  <si>
    <t>2007-09-20</t>
  </si>
  <si>
    <t>621545:eng</t>
  </si>
  <si>
    <t>37300681</t>
  </si>
  <si>
    <t>991005117679702656</t>
  </si>
  <si>
    <t>2259531540002656</t>
  </si>
  <si>
    <t>9780814624562</t>
  </si>
  <si>
    <t>32285005326540</t>
  </si>
  <si>
    <t>893801753</t>
  </si>
  <si>
    <t>BV283.T4 S83 2005</t>
  </si>
  <si>
    <t>0                      BV 0283000T  4                  S  83          2005</t>
  </si>
  <si>
    <t>Stay with us, Lord : prayers and reflections for educators / Michael P. Caruso, editor.</t>
  </si>
  <si>
    <t>Washington, DC : National Catholic Educational Association, c2005.</t>
  </si>
  <si>
    <t>2005</t>
  </si>
  <si>
    <t>2006-03-14</t>
  </si>
  <si>
    <t>47682602:eng</t>
  </si>
  <si>
    <t>63544613</t>
  </si>
  <si>
    <t>991004721599702656</t>
  </si>
  <si>
    <t>2270491570002656</t>
  </si>
  <si>
    <t>9781558333765</t>
  </si>
  <si>
    <t>32285005165302</t>
  </si>
  <si>
    <t>893700574</t>
  </si>
  <si>
    <t>BV2831 .C63 1964</t>
  </si>
  <si>
    <t>0                      BV 2831000C  63          1964</t>
  </si>
  <si>
    <t>The church in the new Latin America / edited by John J. Considine.</t>
  </si>
  <si>
    <t>Considine, John Joseph, 1897-1982, editor.</t>
  </si>
  <si>
    <t>Notre Dame, Ind. : Fides Publishers, [c1964]</t>
  </si>
  <si>
    <t>A Fides paperback textbook, PBT-6</t>
  </si>
  <si>
    <t>2009-03-13</t>
  </si>
  <si>
    <t>24806378:eng</t>
  </si>
  <si>
    <t>1162989</t>
  </si>
  <si>
    <t>991004353219702656</t>
  </si>
  <si>
    <t>2264440470002656</t>
  </si>
  <si>
    <t>32285000928464</t>
  </si>
  <si>
    <t>893718804</t>
  </si>
  <si>
    <t>BV2831 .C66</t>
  </si>
  <si>
    <t>0                      BV 2831000C  66</t>
  </si>
  <si>
    <t>Mission to Latin America : the successes and failures of a twentieth-century crusade / Gerald M. Costello.</t>
  </si>
  <si>
    <t>Costello, Gerald M.</t>
  </si>
  <si>
    <t>Maryknoll, N.Y. : Orbis Books, c1979.</t>
  </si>
  <si>
    <t>1990-04-20</t>
  </si>
  <si>
    <t>12828436:eng</t>
  </si>
  <si>
    <t>4194471</t>
  </si>
  <si>
    <t>991004605839702656</t>
  </si>
  <si>
    <t>2262499500002656</t>
  </si>
  <si>
    <t>9780883443125</t>
  </si>
  <si>
    <t>32285000130145</t>
  </si>
  <si>
    <t>893507041</t>
  </si>
  <si>
    <t>BV2833 .K6</t>
  </si>
  <si>
    <t>0                      BV 2833000K  6</t>
  </si>
  <si>
    <t>A Jesuit hacienda in colonial Mexico : Santa Lucía, 1576-1767 / Herman W. Konrad.</t>
  </si>
  <si>
    <t>Konrad, Herman W.</t>
  </si>
  <si>
    <t>Stanford, Calif. : Stanford University Press, 1980.</t>
  </si>
  <si>
    <t>459761:eng</t>
  </si>
  <si>
    <t>7162647</t>
  </si>
  <si>
    <t>991005078519702656</t>
  </si>
  <si>
    <t>2269960720002656</t>
  </si>
  <si>
    <t>9780804710503</t>
  </si>
  <si>
    <t>32285000928498</t>
  </si>
  <si>
    <t>893600575</t>
  </si>
  <si>
    <t>BV2836.V3 P3 1962</t>
  </si>
  <si>
    <t>0                      BV 2836000V  3                  P  3           1962</t>
  </si>
  <si>
    <t>Fray Diego Valadés, O.F.M., evangelizador humanista de la Nueva España : su obra / Esteban J. Palomera.</t>
  </si>
  <si>
    <t>Palomera, Esteban J.</t>
  </si>
  <si>
    <t>México : Editorial Jus, 1962</t>
  </si>
  <si>
    <t>[1. ed.]</t>
  </si>
  <si>
    <t>spa</t>
  </si>
  <si>
    <t xml:space="preserve">mx </t>
  </si>
  <si>
    <t>2000-02-28</t>
  </si>
  <si>
    <t>2287273559:spa</t>
  </si>
  <si>
    <t>10374543</t>
  </si>
  <si>
    <t>991000361679702656</t>
  </si>
  <si>
    <t>2257401590002656</t>
  </si>
  <si>
    <t>32285000928506</t>
  </si>
  <si>
    <t>893796577</t>
  </si>
  <si>
    <t>BV284.G6 M6 1969</t>
  </si>
  <si>
    <t>0                      BV 0284000G  6                  M  6           1969</t>
  </si>
  <si>
    <t>Thomas More's prayer book : a facsimile reproduction of the annotated pages / Transcription and translation with an introd. by Louis L. Martz and Richard S. Sylvester.</t>
  </si>
  <si>
    <t>More, Thomas, Saint, 1478-1535.</t>
  </si>
  <si>
    <t>New Haven : Published for the Elizabethan Club [by] Yale University Press, 1969.</t>
  </si>
  <si>
    <t>The Elizabethan Club series, 4</t>
  </si>
  <si>
    <t>1993-07-26</t>
  </si>
  <si>
    <t>1992-01-08</t>
  </si>
  <si>
    <t>1122414551:eng</t>
  </si>
  <si>
    <t>23070</t>
  </si>
  <si>
    <t>991000053619702656</t>
  </si>
  <si>
    <t>2265413540002656</t>
  </si>
  <si>
    <t>32285000902188</t>
  </si>
  <si>
    <t>893527749</t>
  </si>
  <si>
    <t>BV2842 .B73 1988</t>
  </si>
  <si>
    <t>0                      BV 2842000B  73          1988</t>
  </si>
  <si>
    <t>Murdered in Central America : the stories of eleven U.S. missionaries / Donna Whitson Brett, Edward T. Brett.</t>
  </si>
  <si>
    <t>Brett, Donna Whitson.</t>
  </si>
  <si>
    <t>Maryknoll, N.Y. : Orbis Books, c1988.</t>
  </si>
  <si>
    <t>2007-01-30</t>
  </si>
  <si>
    <t>892071956:eng</t>
  </si>
  <si>
    <t>17441150</t>
  </si>
  <si>
    <t>991001218679702656</t>
  </si>
  <si>
    <t>2260336380002656</t>
  </si>
  <si>
    <t>9780883446249</t>
  </si>
  <si>
    <t>32285003617346</t>
  </si>
  <si>
    <t>893696580</t>
  </si>
  <si>
    <t>BV2848.V5 O4213 1987</t>
  </si>
  <si>
    <t>0                      BV 2848000V  5                  O  4213        1987</t>
  </si>
  <si>
    <t>C.G.A. Oldendorp's history of the mission of the evangelical brethren on the Caribbean islands of St. Thomas, St. Croix, and St. John / edited by Johann Jakob Bossard [i.e. Bossart] ; English edition and translation by Arnold R. Highfield and Vladimir Barac.</t>
  </si>
  <si>
    <t>Oldendorp, C. G. A. (Christian Georg Andreas), 1721-1787.</t>
  </si>
  <si>
    <t>Ann Arbor : Karoma Publishers, 1987.</t>
  </si>
  <si>
    <t>2009-08-07</t>
  </si>
  <si>
    <t>1992-11-24</t>
  </si>
  <si>
    <t>3901289448:eng</t>
  </si>
  <si>
    <t>18192674</t>
  </si>
  <si>
    <t>991001318689702656</t>
  </si>
  <si>
    <t>2269594830002656</t>
  </si>
  <si>
    <t>9780897200752</t>
  </si>
  <si>
    <t>32285001364875</t>
  </si>
  <si>
    <t>893340339</t>
  </si>
  <si>
    <t>BV2853.E3 E4</t>
  </si>
  <si>
    <t>0                      BV 2853000E  3                  E  4</t>
  </si>
  <si>
    <t>Through gates of splendor / Elisabeth Elliot. Foreword by Abe C. Van Der Puy. Picture editor, Cornell Capa.</t>
  </si>
  <si>
    <t>Elliot, Elisabeth.</t>
  </si>
  <si>
    <t>New York, Harper [1958, c1957]</t>
  </si>
  <si>
    <t>1995-03-27</t>
  </si>
  <si>
    <t>970164:eng</t>
  </si>
  <si>
    <t>1141291</t>
  </si>
  <si>
    <t>991003567589702656</t>
  </si>
  <si>
    <t>2264899020002656</t>
  </si>
  <si>
    <t>32285000928548</t>
  </si>
  <si>
    <t>893505712</t>
  </si>
  <si>
    <t>BV2857.S68 D9 1970</t>
  </si>
  <si>
    <t>0                      BV 2857000S  68                 D  9           1970</t>
  </si>
  <si>
    <t>Byzantine missions among the Slavs : SS. Constantine-Cyril and Methodius.</t>
  </si>
  <si>
    <t>Dvornik, Francis, 1893-1975.</t>
  </si>
  <si>
    <t>New Brunswick, N.J. : Rutgers University Press, [1970]</t>
  </si>
  <si>
    <t>Rutgers Byzantine series</t>
  </si>
  <si>
    <t>2009-09-21</t>
  </si>
  <si>
    <t>1992-01-30</t>
  </si>
  <si>
    <t>349518233:eng</t>
  </si>
  <si>
    <t>99185</t>
  </si>
  <si>
    <t>991000606189702656</t>
  </si>
  <si>
    <t>2268993570002656</t>
  </si>
  <si>
    <t>9780813506135</t>
  </si>
  <si>
    <t>32285000899814</t>
  </si>
  <si>
    <t>893802917</t>
  </si>
  <si>
    <t>BV3 .H4513 1999</t>
  </si>
  <si>
    <t>0                      BV 0003000H  4513        1999</t>
  </si>
  <si>
    <t>Practical theology : history, theory, action domains : manual for practical theology / Gerben Heitink ; translated by Reinder Bruinsma.</t>
  </si>
  <si>
    <t>Heitink, Gerben.</t>
  </si>
  <si>
    <t>Grand Rapids, Mich. : W.B. Eerdmans Pub. Co. c1999.</t>
  </si>
  <si>
    <t>Studies in practical theology</t>
  </si>
  <si>
    <t>2000-11-28</t>
  </si>
  <si>
    <t>2000-08-23</t>
  </si>
  <si>
    <t>23586785:eng</t>
  </si>
  <si>
    <t>40707005</t>
  </si>
  <si>
    <t>991003219299702656</t>
  </si>
  <si>
    <t>2266832980002656</t>
  </si>
  <si>
    <t>9780802842947</t>
  </si>
  <si>
    <t>32285003758744</t>
  </si>
  <si>
    <t>893787086</t>
  </si>
  <si>
    <t>BV3 .M43 1985</t>
  </si>
  <si>
    <t>0                      BV 0003000M  43          1985</t>
  </si>
  <si>
    <t>Polity and praxis : a program for American practical theology / Dennis P. McCann, Charles R. Strain.</t>
  </si>
  <si>
    <t>McCann, Dennis.</t>
  </si>
  <si>
    <t>Minneapolis : Winston Press, c1985.</t>
  </si>
  <si>
    <t>2003-11-02</t>
  </si>
  <si>
    <t>5086102:eng</t>
  </si>
  <si>
    <t>12424059</t>
  </si>
  <si>
    <t>991000688729702656</t>
  </si>
  <si>
    <t>2259257610002656</t>
  </si>
  <si>
    <t>9780866839860</t>
  </si>
  <si>
    <t>32285000809706</t>
  </si>
  <si>
    <t>893595787</t>
  </si>
  <si>
    <t>BV30 .C48 1984</t>
  </si>
  <si>
    <t>0                      BV 0030000C  48          1984</t>
  </si>
  <si>
    <t>The Church gives thanks and remembers : essays on the Liturgical Year / editor, Lawrence J. Johnson ; Mark Searle ... [et al.].</t>
  </si>
  <si>
    <t>Collegeville, Minn. : Liturgical Press, c1984.</t>
  </si>
  <si>
    <t>2007-11-07</t>
  </si>
  <si>
    <t>1090885367:eng</t>
  </si>
  <si>
    <t>10557737</t>
  </si>
  <si>
    <t>991000391749702656</t>
  </si>
  <si>
    <t>2271635290002656</t>
  </si>
  <si>
    <t>9780814613559</t>
  </si>
  <si>
    <t>32285000809888</t>
  </si>
  <si>
    <t>893508732</t>
  </si>
  <si>
    <t>BV30 .D325</t>
  </si>
  <si>
    <t>0                      BV 0030000D  325</t>
  </si>
  <si>
    <t>Come, Lord Jesus : Biblical prayers with psalms and scripture readings / by Lucien Deiss.</t>
  </si>
  <si>
    <t>Chicago : World Library Publications, c1981.</t>
  </si>
  <si>
    <t>1993-11-15</t>
  </si>
  <si>
    <t>4846615683:eng</t>
  </si>
  <si>
    <t>7840378</t>
  </si>
  <si>
    <t>991005169629702656</t>
  </si>
  <si>
    <t>2270483430002656</t>
  </si>
  <si>
    <t>9780937690185</t>
  </si>
  <si>
    <t>32285000809896</t>
  </si>
  <si>
    <t>893338641</t>
  </si>
  <si>
    <t>BV30 .K4 1908</t>
  </si>
  <si>
    <t>0                      BV 0030000K  4           1908</t>
  </si>
  <si>
    <t>Heortology : a history of the Christian festivals from their origin to the present day / by Dr. K.A. Heinrich Kellner. Tr. with the author's permission from the second German edition by a priest of the diocese of Westminster.</t>
  </si>
  <si>
    <t>Kellner, K. A. Heinrich (Karl Adam Heinrich), 1837-1915.</t>
  </si>
  <si>
    <t>London : K. Paul ; Trench : Trübner, 1908.</t>
  </si>
  <si>
    <t>The international Catholic library, vol. xiv</t>
  </si>
  <si>
    <t>1992-11-02</t>
  </si>
  <si>
    <t>1748384:eng</t>
  </si>
  <si>
    <t>679857</t>
  </si>
  <si>
    <t>991003138289702656</t>
  </si>
  <si>
    <t>2269818590002656</t>
  </si>
  <si>
    <t>32285000809920</t>
  </si>
  <si>
    <t>893227727</t>
  </si>
  <si>
    <t>BV30 .S75 1958</t>
  </si>
  <si>
    <t>0                      BV 0030000S  75          1958</t>
  </si>
  <si>
    <t>With Christ through the year : the liturgical year in word and symbols / by Bernard Strasser ; illustrated by M. A. Justina Knapp.</t>
  </si>
  <si>
    <t>Strasser, Bernard, 1895-</t>
  </si>
  <si>
    <t>Milwaukee : Bruce Pub. Co., [1958]</t>
  </si>
  <si>
    <t>[New ed.]</t>
  </si>
  <si>
    <t>1999-01-11</t>
  </si>
  <si>
    <t>1990-11-01</t>
  </si>
  <si>
    <t>6783792:eng</t>
  </si>
  <si>
    <t>3050177</t>
  </si>
  <si>
    <t>991004328059702656</t>
  </si>
  <si>
    <t>2264479240002656</t>
  </si>
  <si>
    <t>32285000296433</t>
  </si>
  <si>
    <t>893436150</t>
  </si>
  <si>
    <t>BV305 .J84</t>
  </si>
  <si>
    <t>0                      BV 0305000J  84</t>
  </si>
  <si>
    <t>A dictionary of hymnology : setting forth the origin of Christian hymns of all ages and nations / together with biographical and critical notices of their authors and translators ; edited by John Julian.</t>
  </si>
  <si>
    <t>Julian, John, 1839-1913.</t>
  </si>
  <si>
    <t>London, J. Murray, 1892.</t>
  </si>
  <si>
    <t>1892</t>
  </si>
  <si>
    <t>2007-09-12</t>
  </si>
  <si>
    <t>5086015527:eng</t>
  </si>
  <si>
    <t>3063435</t>
  </si>
  <si>
    <t>991004331929702656</t>
  </si>
  <si>
    <t>2271352230002656</t>
  </si>
  <si>
    <t>32285000902238</t>
  </si>
  <si>
    <t>893624606</t>
  </si>
  <si>
    <t>BV312 .A34 1988</t>
  </si>
  <si>
    <t>0                      BV 0312000A  34          1988</t>
  </si>
  <si>
    <t>Class and idol in the English hymn / Lionel Adey.</t>
  </si>
  <si>
    <t>Adey, Lionel.</t>
  </si>
  <si>
    <t>Vancouver : University of British Columbia Press, 1988.</t>
  </si>
  <si>
    <t>bcc</t>
  </si>
  <si>
    <t>2005-09-13</t>
  </si>
  <si>
    <t>1989-11-16</t>
  </si>
  <si>
    <t>24984372:eng</t>
  </si>
  <si>
    <t>24010128</t>
  </si>
  <si>
    <t>991001408139702656</t>
  </si>
  <si>
    <t>2272041590002656</t>
  </si>
  <si>
    <t>9780774803045</t>
  </si>
  <si>
    <t>32285000013028</t>
  </si>
  <si>
    <t>893709236</t>
  </si>
  <si>
    <t>BV312 .A76 1995</t>
  </si>
  <si>
    <t>0                      BV 0312000A  76          1995</t>
  </si>
  <si>
    <t>The English hymn : studies in a genre / Richard Arnold.</t>
  </si>
  <si>
    <t>Arnold, Richard, 1954-</t>
  </si>
  <si>
    <t>New York : P. Lang, c1995.</t>
  </si>
  <si>
    <t>1995-11-16</t>
  </si>
  <si>
    <t>304134019:eng</t>
  </si>
  <si>
    <t>29702608</t>
  </si>
  <si>
    <t>991002291269702656</t>
  </si>
  <si>
    <t>2261263630002656</t>
  </si>
  <si>
    <t>9780820424859</t>
  </si>
  <si>
    <t>32285002103678</t>
  </si>
  <si>
    <t>893439993</t>
  </si>
  <si>
    <t>BV312 .D33 1993</t>
  </si>
  <si>
    <t>0                      BV 0312000D  33          1993</t>
  </si>
  <si>
    <t>The eighteenth-century hymn in England / by Donald Davie.</t>
  </si>
  <si>
    <t>Davie, Donald.</t>
  </si>
  <si>
    <t>Cambridge ; New York, NY, USA : Cambridge University Press, 1993.</t>
  </si>
  <si>
    <t>Cambridge studies in eighteenth-century English literature and thought ; 19</t>
  </si>
  <si>
    <t>1996-04-25</t>
  </si>
  <si>
    <t>342617:eng</t>
  </si>
  <si>
    <t>27337732</t>
  </si>
  <si>
    <t>991002132359702656</t>
  </si>
  <si>
    <t>2270925260002656</t>
  </si>
  <si>
    <t>9780521381680</t>
  </si>
  <si>
    <t>32285002157807</t>
  </si>
  <si>
    <t>893341068</t>
  </si>
  <si>
    <t>BV312 .T3</t>
  </si>
  <si>
    <t>0                      BV 0312000T  3</t>
  </si>
  <si>
    <t>Make a joyful noise unto the Lord : hymns as a reflection of Victorian social attitudes / by Susan S. Tamke.</t>
  </si>
  <si>
    <t>Tamke, Susan S.</t>
  </si>
  <si>
    <t>[Athens] : Ohio University Press, c1978.</t>
  </si>
  <si>
    <t>1993-08-11</t>
  </si>
  <si>
    <t>1004063675:eng</t>
  </si>
  <si>
    <t>4101355</t>
  </si>
  <si>
    <t>991004588059702656</t>
  </si>
  <si>
    <t>2269839460002656</t>
  </si>
  <si>
    <t>9780821403716</t>
  </si>
  <si>
    <t>32285000902261</t>
  </si>
  <si>
    <t>893712793</t>
  </si>
  <si>
    <t>BV313 .H63 1997</t>
  </si>
  <si>
    <t>0                      BV 0313000H  63          1997</t>
  </si>
  <si>
    <t>I sing for I cannot be silent : the feminization of American hymnody, 1870-1920 / June Hadden Hobbs.</t>
  </si>
  <si>
    <t>Hobbs, June Hadden, 1948-</t>
  </si>
  <si>
    <t>Pittsburgh, Pa. : University of Pittsburgh Press, c1997.</t>
  </si>
  <si>
    <t>Pittsburgh series in composition, literacy, and culture</t>
  </si>
  <si>
    <t>2000-09-13</t>
  </si>
  <si>
    <t>626965:eng</t>
  </si>
  <si>
    <t>36728444</t>
  </si>
  <si>
    <t>991003251149702656</t>
  </si>
  <si>
    <t>2255111930002656</t>
  </si>
  <si>
    <t>9780822939900</t>
  </si>
  <si>
    <t>32285003761722</t>
  </si>
  <si>
    <t>893604578</t>
  </si>
  <si>
    <t>BV317.A49 T87 2002</t>
  </si>
  <si>
    <t>0                      BV 0317000A  49                 T  87          2002</t>
  </si>
  <si>
    <t>Amazing grace : the story of America's most beloved song / Steve Turner.</t>
  </si>
  <si>
    <t>Turner, Steve, 1949-</t>
  </si>
  <si>
    <t>New York : Ecco, c2002.</t>
  </si>
  <si>
    <t>2002-12-17</t>
  </si>
  <si>
    <t>2002-11-18</t>
  </si>
  <si>
    <t>3943478782:eng</t>
  </si>
  <si>
    <t>49727873</t>
  </si>
  <si>
    <t>991003916829702656</t>
  </si>
  <si>
    <t>2264668960002656</t>
  </si>
  <si>
    <t>9780060002183</t>
  </si>
  <si>
    <t>32285004664206</t>
  </si>
  <si>
    <t>893429435</t>
  </si>
  <si>
    <t>BV325 .H38 1972</t>
  </si>
  <si>
    <t>0                      BV 0325000H  38          1972</t>
  </si>
  <si>
    <t>The poets of the church : a series of biographical sketches of hymn-writers with notes on their hymns / by Edwin F. Hatfield.</t>
  </si>
  <si>
    <t>Hatfield, Edwin F. (Edwin Francis), 1807-1883.</t>
  </si>
  <si>
    <t>Boston, Milford House [1972]</t>
  </si>
  <si>
    <t>2005-09-23</t>
  </si>
  <si>
    <t>468535:eng</t>
  </si>
  <si>
    <t>341209</t>
  </si>
  <si>
    <t>991002414719702656</t>
  </si>
  <si>
    <t>2265807300002656</t>
  </si>
  <si>
    <t>9780878210282</t>
  </si>
  <si>
    <t>32285000902287</t>
  </si>
  <si>
    <t>893329047</t>
  </si>
  <si>
    <t>BV3265.2 .P38</t>
  </si>
  <si>
    <t>0                      BV 3265200P  38</t>
  </si>
  <si>
    <t>American Missionaries and Hinduism : a study of their contacts from 1813 to 1910 / by Sushil Madhava Pathak ; with a foreword by Norman D. Palmer.</t>
  </si>
  <si>
    <t>Pathak, Sushil Madhava.</t>
  </si>
  <si>
    <t>Delhi, Munshiram Manoharlal [1967]</t>
  </si>
  <si>
    <t xml:space="preserve">ii </t>
  </si>
  <si>
    <t>1998-12-06</t>
  </si>
  <si>
    <t>1281762:eng</t>
  </si>
  <si>
    <t>86271</t>
  </si>
  <si>
    <t>991000517009702656</t>
  </si>
  <si>
    <t>2270355120002656</t>
  </si>
  <si>
    <t>32285000928571</t>
  </si>
  <si>
    <t>893438330</t>
  </si>
  <si>
    <t>BV3269.H54 T47 1984</t>
  </si>
  <si>
    <t>0                      BV 3269000H  54                 T  47          1984</t>
  </si>
  <si>
    <t>A missionary social worker in India : J.B. Hoffmann, the Chota Nagpur Tenancy Act and the Catholic co-operatives, 1893-1928 / Peter Tete.</t>
  </si>
  <si>
    <t>Tete, Peter, 1941-</t>
  </si>
  <si>
    <t>Roma : Università Gregoriana Editrice, 1984.</t>
  </si>
  <si>
    <t>Documenta missionalia ; 18</t>
  </si>
  <si>
    <t>1992-03-10</t>
  </si>
  <si>
    <t>429523134:eng</t>
  </si>
  <si>
    <t>11249173</t>
  </si>
  <si>
    <t>991000512209702656</t>
  </si>
  <si>
    <t>2255261300002656</t>
  </si>
  <si>
    <t>9788876525391</t>
  </si>
  <si>
    <t>32285000130152</t>
  </si>
  <si>
    <t>893607974</t>
  </si>
  <si>
    <t>BV3269.N6 C7 1959</t>
  </si>
  <si>
    <t>0                      BV 3269000N  6                  C  7           1959</t>
  </si>
  <si>
    <t>A pearl to India : the life of Roberto de Nobili.</t>
  </si>
  <si>
    <t>Cronin, Vincent.</t>
  </si>
  <si>
    <t>New York : Dutton, 1959.</t>
  </si>
  <si>
    <t>1657374:eng</t>
  </si>
  <si>
    <t>765713</t>
  </si>
  <si>
    <t>991003242579702656</t>
  </si>
  <si>
    <t>2270384470002656</t>
  </si>
  <si>
    <t>32285000928597</t>
  </si>
  <si>
    <t>893899762</t>
  </si>
  <si>
    <t>BV3280.T3 K46 2004</t>
  </si>
  <si>
    <t>0                      BV 3280000T  3                  K  46          2004</t>
  </si>
  <si>
    <t>Converting women : gender and Protestant Christianity in colonial South India / Eliza F. Kent.</t>
  </si>
  <si>
    <t>Kent, Eliza F., 1966-</t>
  </si>
  <si>
    <t>Oxford ; New York : Oxford University Press, 2004.</t>
  </si>
  <si>
    <t>2004</t>
  </si>
  <si>
    <t>2005-06-06</t>
  </si>
  <si>
    <t>801642256:eng</t>
  </si>
  <si>
    <t>52412323</t>
  </si>
  <si>
    <t>991004537379702656</t>
  </si>
  <si>
    <t>2266712160002656</t>
  </si>
  <si>
    <t>9780195165074</t>
  </si>
  <si>
    <t>32285005092993</t>
  </si>
  <si>
    <t>893618780</t>
  </si>
  <si>
    <t>BV3382.B87 A3 2003</t>
  </si>
  <si>
    <t>0                      BV 3382000B  87                 A  3           2003</t>
  </si>
  <si>
    <t>In the presence of my enemies / Gracia Burnham, with Dean Merrill.</t>
  </si>
  <si>
    <t>Burnham, Gracia.</t>
  </si>
  <si>
    <t>Wheaton, Ill. : Tyndale House, c2003.</t>
  </si>
  <si>
    <t>2006-03-16</t>
  </si>
  <si>
    <t>2003-06-17</t>
  </si>
  <si>
    <t>724398:eng</t>
  </si>
  <si>
    <t>51630805</t>
  </si>
  <si>
    <t>991004060319702656</t>
  </si>
  <si>
    <t>2255174190002656</t>
  </si>
  <si>
    <t>9780842381383</t>
  </si>
  <si>
    <t>32285004752886</t>
  </si>
  <si>
    <t>893247112</t>
  </si>
  <si>
    <t>BV340 .O72 1990</t>
  </si>
  <si>
    <t>0                      BV 0340000O  72          1990</t>
  </si>
  <si>
    <t>Amazing grace : 366 inspiring hymn stories for daily devotions / Kenneth W. Osbeck.</t>
  </si>
  <si>
    <t>Osbeck, Kenneth W.</t>
  </si>
  <si>
    <t>Grand Rapids, Mich. : Kregel Publications, c1990.</t>
  </si>
  <si>
    <t>2004-05-05</t>
  </si>
  <si>
    <t>3901310489:eng</t>
  </si>
  <si>
    <t>21674588</t>
  </si>
  <si>
    <t>991004295689702656</t>
  </si>
  <si>
    <t>2263376250002656</t>
  </si>
  <si>
    <t>9780825434259</t>
  </si>
  <si>
    <t>32285004904099</t>
  </si>
  <si>
    <t>893782080</t>
  </si>
  <si>
    <t>BV3415 .M35 1941</t>
  </si>
  <si>
    <t>0                      BV 3415000M  35          1941</t>
  </si>
  <si>
    <t>One inch of splendor / by Sister Mary Rosalia. Designs by Joseph Notarpole.</t>
  </si>
  <si>
    <t>Mary Rosalia, Sister, 1896-</t>
  </si>
  <si>
    <t>New York : Field afar press, [c1941]</t>
  </si>
  <si>
    <t>1941</t>
  </si>
  <si>
    <t>1994-10-27</t>
  </si>
  <si>
    <t>1992-02-13</t>
  </si>
  <si>
    <t>5585836828:eng</t>
  </si>
  <si>
    <t>3105047</t>
  </si>
  <si>
    <t>991004347889702656</t>
  </si>
  <si>
    <t>2269739930002656</t>
  </si>
  <si>
    <t>32285000928670</t>
  </si>
  <si>
    <t>893525987</t>
  </si>
  <si>
    <t>BV3415.2 .F64 1987</t>
  </si>
  <si>
    <t>0                      BV 3415200F  64          1987</t>
  </si>
  <si>
    <t>Chosen for China : the California Province Jesuits in China, 1928-1957 : a case study in mission and culture / Peter Joseph Fleming.</t>
  </si>
  <si>
    <t>Fleming, Peter J. (Peter Joseph)</t>
  </si>
  <si>
    <t>1996-05-29</t>
  </si>
  <si>
    <t>21297359:eng</t>
  </si>
  <si>
    <t>19215244</t>
  </si>
  <si>
    <t>991001438309702656</t>
  </si>
  <si>
    <t>2263088010002656</t>
  </si>
  <si>
    <t>32285002121399</t>
  </si>
  <si>
    <t>893244137</t>
  </si>
  <si>
    <t>BV3415.2 .L8</t>
  </si>
  <si>
    <t>0                      BV 3415200L  8</t>
  </si>
  <si>
    <t>Christian missions in China : evangelists of what? / edited with an introd. by Jessie G. Lutz.</t>
  </si>
  <si>
    <t>Lutz, Jessie Gregory, 1925- editor.</t>
  </si>
  <si>
    <t>Boston : Heath, [1965]</t>
  </si>
  <si>
    <t>Problems in Asian civilizations</t>
  </si>
  <si>
    <t>1992-01-10</t>
  </si>
  <si>
    <t>808563499:eng</t>
  </si>
  <si>
    <t>182750</t>
  </si>
  <si>
    <t>991001095069702656</t>
  </si>
  <si>
    <t>2271319540002656</t>
  </si>
  <si>
    <t>32285000912187</t>
  </si>
  <si>
    <t>893596187</t>
  </si>
  <si>
    <t>BV3415.2 .W44 1988</t>
  </si>
  <si>
    <t>0                      BV 3415200W  44          1988</t>
  </si>
  <si>
    <t>Maryknoll in China : a history, 1918-1955 / Jean-Paul Wiest.</t>
  </si>
  <si>
    <t>Wiest, Jean-Paul.</t>
  </si>
  <si>
    <t>Armonk, N.Y. : M.E. Sharpe, c1988.</t>
  </si>
  <si>
    <t>2005-02-06</t>
  </si>
  <si>
    <t>1990-04-03</t>
  </si>
  <si>
    <t>682438:eng</t>
  </si>
  <si>
    <t>17108585</t>
  </si>
  <si>
    <t>991001181349702656</t>
  </si>
  <si>
    <t>2259673040002656</t>
  </si>
  <si>
    <t>9780873324182</t>
  </si>
  <si>
    <t>32285000093475</t>
  </si>
  <si>
    <t>893334135</t>
  </si>
  <si>
    <t>BV3417 .M363 1997</t>
  </si>
  <si>
    <t>0                      BV 3417000M  363         1997</t>
  </si>
  <si>
    <t>The Society of Jesus and China : a historical-theological essay / Edward J. Malatesta.</t>
  </si>
  <si>
    <t>Malatesta, Edward.</t>
  </si>
  <si>
    <t>St. Louis, Mo. : Institute of Jesuit Sources ; Washington, D.C. : published on behalf of Jesuit International Ministries, Jesuit Conference, 1997.</t>
  </si>
  <si>
    <t>2005-02-18</t>
  </si>
  <si>
    <t>2000-01-11</t>
  </si>
  <si>
    <t>4152908345:eng</t>
  </si>
  <si>
    <t>37130090</t>
  </si>
  <si>
    <t>991002821369702656</t>
  </si>
  <si>
    <t>2267103990002656</t>
  </si>
  <si>
    <t>32285003639506</t>
  </si>
  <si>
    <t>893524089</t>
  </si>
  <si>
    <t>BV3423.L6 B68</t>
  </si>
  <si>
    <t>0                      BV 3423000L  6                  B  68</t>
  </si>
  <si>
    <t>Strong man's prey / A.J. Broomhall.</t>
  </si>
  <si>
    <t>Broomhall, A. J.</t>
  </si>
  <si>
    <t>London, China Inland Mission, 1953.</t>
  </si>
  <si>
    <t>2001-07-05</t>
  </si>
  <si>
    <t>429214617:eng</t>
  </si>
  <si>
    <t>2657698</t>
  </si>
  <si>
    <t>991004203489702656</t>
  </si>
  <si>
    <t>2256018360002656</t>
  </si>
  <si>
    <t>32285000928746</t>
  </si>
  <si>
    <t>893618375</t>
  </si>
  <si>
    <t>BV3427.A1 T6 1984</t>
  </si>
  <si>
    <t>0                      BV 3427000A  1                  T  6           1984</t>
  </si>
  <si>
    <t>"To save their heathen souls" : voyage to and life in Fouchow, China, based on Wentworth diaries and letters, 1854-1858 / edited by Polly Park ; foreword by Francis West.</t>
  </si>
  <si>
    <t>Allison Park, Pa. : Pickwick Publications, 1984.</t>
  </si>
  <si>
    <t>Pittsburgh theological monographs. New series ; 9</t>
  </si>
  <si>
    <t>1995-09-07</t>
  </si>
  <si>
    <t>889759899:eng</t>
  </si>
  <si>
    <t>10483466</t>
  </si>
  <si>
    <t>991000378729702656</t>
  </si>
  <si>
    <t>2263418290002656</t>
  </si>
  <si>
    <t>9780915138661</t>
  </si>
  <si>
    <t>32285000928753</t>
  </si>
  <si>
    <t>893431891</t>
  </si>
  <si>
    <t>BV3427.A3 A35</t>
  </si>
  <si>
    <t>0                      BV 3427000A  3                  A  35</t>
  </si>
  <si>
    <t>Memoir of the Rev. David Abeel, D.D. : late missionary to China / [compiled] by G.R. Williamson.</t>
  </si>
  <si>
    <t>Abeel, David, 1804-1846.</t>
  </si>
  <si>
    <t>Wilmington, Del., Scholarly Resources [1972]</t>
  </si>
  <si>
    <t>1992-02-18</t>
  </si>
  <si>
    <t>3901102728:eng</t>
  </si>
  <si>
    <t>1013139</t>
  </si>
  <si>
    <t>991003470759702656</t>
  </si>
  <si>
    <t>2255165420002656</t>
  </si>
  <si>
    <t>9780842013536</t>
  </si>
  <si>
    <t>32285000928761</t>
  </si>
  <si>
    <t>893531207</t>
  </si>
  <si>
    <t>BV3427.E47 E52 1980</t>
  </si>
  <si>
    <t>0                      BV 3427000E  47                 E  52          1980</t>
  </si>
  <si>
    <t>James G. Endicott : rebel out of China / Stephen Endicott.</t>
  </si>
  <si>
    <t>Endicott, Stephen Lyon, 1928-</t>
  </si>
  <si>
    <t>Toronto ; Buffalo : University of Toronto Press, 1980.</t>
  </si>
  <si>
    <t>onc</t>
  </si>
  <si>
    <t>1995-03-13</t>
  </si>
  <si>
    <t>4057738:eng</t>
  </si>
  <si>
    <t>7272291</t>
  </si>
  <si>
    <t>991005095179702656</t>
  </si>
  <si>
    <t>2261402560002656</t>
  </si>
  <si>
    <t>9780802023773</t>
  </si>
  <si>
    <t>32285000928779</t>
  </si>
  <si>
    <t>893694750</t>
  </si>
  <si>
    <t>BV3427.G25 B3 1973</t>
  </si>
  <si>
    <t>0                      BV 3427000G  25                 B  3           1973</t>
  </si>
  <si>
    <t>The red lacquered gate / William E. Barrett.</t>
  </si>
  <si>
    <t>Barrett, William E. (William Edmund), 1900-1986.</t>
  </si>
  <si>
    <t>New York : Avon Books, 1973.</t>
  </si>
  <si>
    <t>Avon ; 16550</t>
  </si>
  <si>
    <t>1993-08-27</t>
  </si>
  <si>
    <t>135983941:eng</t>
  </si>
  <si>
    <t>5815601</t>
  </si>
  <si>
    <t>991004880579702656</t>
  </si>
  <si>
    <t>2260048600002656</t>
  </si>
  <si>
    <t>9780380015221</t>
  </si>
  <si>
    <t>32285000928787</t>
  </si>
  <si>
    <t>893606561</t>
  </si>
  <si>
    <t>BV3427.G37 A38 1985</t>
  </si>
  <si>
    <t>0                      BV 3427000G  37                 A  38          1985</t>
  </si>
  <si>
    <t>Within the four seas : the memoirs of B.A. Garside / with a foreword by Walter H. Judd.</t>
  </si>
  <si>
    <t>Garside, B. A. (Bettis Alston), 1894-1989.</t>
  </si>
  <si>
    <t>New York : Frederic C. Beil, 1985.</t>
  </si>
  <si>
    <t>1994-06-09</t>
  </si>
  <si>
    <t>7142845:eng</t>
  </si>
  <si>
    <t>13914576</t>
  </si>
  <si>
    <t>991000891179702656</t>
  </si>
  <si>
    <t>2268814810002656</t>
  </si>
  <si>
    <t>9780913720585</t>
  </si>
  <si>
    <t>32285000928795</t>
  </si>
  <si>
    <t>893231512</t>
  </si>
  <si>
    <t>BV3427.G7 A3 1953</t>
  </si>
  <si>
    <t>0                      BV 3427000G  7                  A  3           1953</t>
  </si>
  <si>
    <t>Calvary in China.</t>
  </si>
  <si>
    <t>Greene, Robert W., 1911-</t>
  </si>
  <si>
    <t>New York : Putnam, [1953]</t>
  </si>
  <si>
    <t>1993-10-01</t>
  </si>
  <si>
    <t>1858260:eng</t>
  </si>
  <si>
    <t>1114782</t>
  </si>
  <si>
    <t>991003547669702656</t>
  </si>
  <si>
    <t>2270053150002656</t>
  </si>
  <si>
    <t>32285000928803</t>
  </si>
  <si>
    <t>893258550</t>
  </si>
  <si>
    <t>BV3427.P47 B4 1958</t>
  </si>
  <si>
    <t>0                      BV 3427000P  47                 B  4           1958</t>
  </si>
  <si>
    <t>I met a traveller : the triumph of Father Phillips.</t>
  </si>
  <si>
    <t>Becker, Kurt, 1915-</t>
  </si>
  <si>
    <t>New York : Farrar, Straus and Cudahy, 1958.</t>
  </si>
  <si>
    <t>1993-03-09</t>
  </si>
  <si>
    <t>367065947:eng</t>
  </si>
  <si>
    <t>775272</t>
  </si>
  <si>
    <t>991003250259702656</t>
  </si>
  <si>
    <t>2266691730002656</t>
  </si>
  <si>
    <t>32285000928811</t>
  </si>
  <si>
    <t>893799522</t>
  </si>
  <si>
    <t>BV3427.S85 B8</t>
  </si>
  <si>
    <t>0                      BV 3427000S  85                 B  8</t>
  </si>
  <si>
    <t>Fighting angel : portrait of a soul / by Pearl S. Buck.</t>
  </si>
  <si>
    <t>Buck, Pearl S. (Pearl Sydenstricker), 1892-1973.</t>
  </si>
  <si>
    <t>New York : Reynal &amp; Hitchcock, 1936.</t>
  </si>
  <si>
    <t>1936</t>
  </si>
  <si>
    <t>1994-07-14</t>
  </si>
  <si>
    <t>4915103315:eng</t>
  </si>
  <si>
    <t>2433051</t>
  </si>
  <si>
    <t>991004122549702656</t>
  </si>
  <si>
    <t>2263474310002656</t>
  </si>
  <si>
    <t>32285000928860</t>
  </si>
  <si>
    <t>893593293</t>
  </si>
  <si>
    <t>BV3427.T5 L62 1956</t>
  </si>
  <si>
    <t>0                      BV 3427000T  5                  L  62          1956</t>
  </si>
  <si>
    <t>Martyr in Tibet : the heroic life and death of Father Maurice Tornay, St. Bernard missionary to Tibet / Translated from the French by Charles Davenport.</t>
  </si>
  <si>
    <t>Loup, Robert.</t>
  </si>
  <si>
    <t>New York : D. McKay Co., [1956]</t>
  </si>
  <si>
    <t>1956</t>
  </si>
  <si>
    <t>1995-03-18</t>
  </si>
  <si>
    <t>890629395:eng</t>
  </si>
  <si>
    <t>1498806</t>
  </si>
  <si>
    <t>991003783599702656</t>
  </si>
  <si>
    <t>2269068770002656</t>
  </si>
  <si>
    <t>32285000928878</t>
  </si>
  <si>
    <t>893623899</t>
  </si>
  <si>
    <t>BV3462.S35 A3 1966</t>
  </si>
  <si>
    <t>0                      BV 3462000S  35                 A  3           1966</t>
  </si>
  <si>
    <t>The starved and the silent / Aloysius Schwartz.</t>
  </si>
  <si>
    <t>Schwartz, Aloysius.</t>
  </si>
  <si>
    <t>Garden City, N.Y. : Doubleday, 1966.</t>
  </si>
  <si>
    <t>2001-11-24</t>
  </si>
  <si>
    <t>4160828140:eng</t>
  </si>
  <si>
    <t>418419</t>
  </si>
  <si>
    <t>991002733969702656</t>
  </si>
  <si>
    <t>2261199460002656</t>
  </si>
  <si>
    <t>32285000928951</t>
  </si>
  <si>
    <t>893704449</t>
  </si>
  <si>
    <t>BV35 .C37 1984</t>
  </si>
  <si>
    <t>0                      BV 0035000C  37          1984</t>
  </si>
  <si>
    <t>Holy days in the United States : history, theology, celebration / Secretariat, Bishops' Committee on the Liturgy, National Conference of Catholic Bishops.</t>
  </si>
  <si>
    <t>Catholic Church. National Conference of Catholic Bishops. Bishops' Committee on the Liturgy. Secretariat.</t>
  </si>
  <si>
    <t>Washington, D.C. : United States Catholic Conference, c1984.</t>
  </si>
  <si>
    <t>1999-02-04</t>
  </si>
  <si>
    <t>3778566:eng</t>
  </si>
  <si>
    <t>11400417</t>
  </si>
  <si>
    <t>991000405179702656</t>
  </si>
  <si>
    <t>2272784090002656</t>
  </si>
  <si>
    <t>32285000099126</t>
  </si>
  <si>
    <t>893884351</t>
  </si>
  <si>
    <t>BV3500 .B8313 1979</t>
  </si>
  <si>
    <t>0                      BV 3500000B  8313        1979</t>
  </si>
  <si>
    <t>The missions on trial : Addis Ababa, 1980 : a moral for the future from the archives of today / Walbert Bühlmann.</t>
  </si>
  <si>
    <t>Bühlmann, Walbert.</t>
  </si>
  <si>
    <t>Maryknoll, N.Y. : Orbis Books, 1979, c1978.</t>
  </si>
  <si>
    <t>1999-04-20</t>
  </si>
  <si>
    <t>13198286:eng</t>
  </si>
  <si>
    <t>4492891</t>
  </si>
  <si>
    <t>991004648329702656</t>
  </si>
  <si>
    <t>2263379730002656</t>
  </si>
  <si>
    <t>9780883443163</t>
  </si>
  <si>
    <t>32285000928977</t>
  </si>
  <si>
    <t>893776256</t>
  </si>
  <si>
    <t>BV3530 .M37 1963</t>
  </si>
  <si>
    <t>0                      BV 3530000M  37          1963</t>
  </si>
  <si>
    <t>African apostles / Elizabeth Mary Matheson.</t>
  </si>
  <si>
    <t>Matheson, Elizabeth Mary.</t>
  </si>
  <si>
    <t>New York : Alba House, [c.1963]</t>
  </si>
  <si>
    <t>1997-03-05</t>
  </si>
  <si>
    <t>1973617:eng</t>
  </si>
  <si>
    <t>1030639</t>
  </si>
  <si>
    <t>991003482939702656</t>
  </si>
  <si>
    <t>2269517640002656</t>
  </si>
  <si>
    <t>32285000296409</t>
  </si>
  <si>
    <t>893793645</t>
  </si>
  <si>
    <t>BV3555 .L66 2000</t>
  </si>
  <si>
    <t>0                      BV 3555000L  66          2000</t>
  </si>
  <si>
    <t>The London Missionary Society in Southern Africa, 1799-1999 : historical essays in celebration of the bicentenary of the LMS in Southern Africa / edited by John de Gruchy.</t>
  </si>
  <si>
    <t>Athens, Ohio : Ohio University Press, 2000.</t>
  </si>
  <si>
    <t>2007-03-27</t>
  </si>
  <si>
    <t>2001-04-23</t>
  </si>
  <si>
    <t>1808205935:eng</t>
  </si>
  <si>
    <t>43798379</t>
  </si>
  <si>
    <t>991003515779702656</t>
  </si>
  <si>
    <t>2259321930002656</t>
  </si>
  <si>
    <t>9780821413494</t>
  </si>
  <si>
    <t>32285004314232</t>
  </si>
  <si>
    <t>893518552</t>
  </si>
  <si>
    <t>BV3557.Q8 S86 1954</t>
  </si>
  <si>
    <t>0                      BV 3557000Q  8                  S  86          1954</t>
  </si>
  <si>
    <t>A heroine of the Apostolate (1907-1944) : Edel Quinn, envoy of the Legion of Mary to Africa / Pref. by H. E. Archbishop Riberi.</t>
  </si>
  <si>
    <t>Suenens, Léon Joseph, 1904-1996.</t>
  </si>
  <si>
    <t>Dublin : C. J. Fallon, 1954.</t>
  </si>
  <si>
    <t>2007-03-13</t>
  </si>
  <si>
    <t>3943305694:eng</t>
  </si>
  <si>
    <t>1335821</t>
  </si>
  <si>
    <t>991003700169702656</t>
  </si>
  <si>
    <t>2259203040002656</t>
  </si>
  <si>
    <t>32285000929025</t>
  </si>
  <si>
    <t>893240498</t>
  </si>
  <si>
    <t>BV3625.G3 S36 1976</t>
  </si>
  <si>
    <t>0                      BV 3625000G  3                  S  36          1976</t>
  </si>
  <si>
    <t>On the edge of the primeval forest &amp; More from the primeval forest : experiences and observations of a doctor in equatorial Africa / by Albert Schweitzer.</t>
  </si>
  <si>
    <t>Schweitzer, Albert, 1875-1965.</t>
  </si>
  <si>
    <t>New York : AMS Press, 1976.</t>
  </si>
  <si>
    <t>2002-12-01</t>
  </si>
  <si>
    <t>5398127393:eng</t>
  </si>
  <si>
    <t>3063125</t>
  </si>
  <si>
    <t>991004331819702656</t>
  </si>
  <si>
    <t>2271046460002656</t>
  </si>
  <si>
    <t>9780404145989</t>
  </si>
  <si>
    <t>32285000929041</t>
  </si>
  <si>
    <t>893519516</t>
  </si>
  <si>
    <t>BV3625.K4 S77</t>
  </si>
  <si>
    <t>0                      BV 3625000K  4                  S  77</t>
  </si>
  <si>
    <t>The making of mission communities in East Africa : Anglicans and Africans in colonial Kenya, 1875-1935 / Robert W. Strayer.</t>
  </si>
  <si>
    <t>Strayer, Robert W.</t>
  </si>
  <si>
    <t>London : Heinemann ; Albany : State University of New York Press, 1978.</t>
  </si>
  <si>
    <t>9304260:eng</t>
  </si>
  <si>
    <t>3275229</t>
  </si>
  <si>
    <t>991004394449702656</t>
  </si>
  <si>
    <t>2255557060002656</t>
  </si>
  <si>
    <t>9780873952453</t>
  </si>
  <si>
    <t>32285000929058</t>
  </si>
  <si>
    <t>893436239</t>
  </si>
  <si>
    <t>BV3625.N5 A7 1965</t>
  </si>
  <si>
    <t>0                      BV 3625000N  5                  A  7           1965</t>
  </si>
  <si>
    <t>Christian missions in Nigeria, 1841-1891 : the making of a new élite / [by] J.F. Ade Ajayi.</t>
  </si>
  <si>
    <t>Ajayi, J. F. Ade.</t>
  </si>
  <si>
    <t>Evanston [Ill.] Northwestern University Press, 1965.</t>
  </si>
  <si>
    <t>Ibadan history series</t>
  </si>
  <si>
    <t>1412997:eng</t>
  </si>
  <si>
    <t>395168</t>
  </si>
  <si>
    <t>991002671139702656</t>
  </si>
  <si>
    <t>2260668900002656</t>
  </si>
  <si>
    <t>32285000929066</t>
  </si>
  <si>
    <t>893691863</t>
  </si>
  <si>
    <t>BV3625.N8 M88 1999</t>
  </si>
  <si>
    <t>0                      BV 3625000N  8                  M  88          1999</t>
  </si>
  <si>
    <t>The Catholic missionaries within and beyond the politics of exclusivity in colonial Malawi, 1901-1945 / Stanslaus C. Muyebe.</t>
  </si>
  <si>
    <t>Muyebe, Stanslaus C.</t>
  </si>
  <si>
    <t>Lewiston, NY : Edwin Mellen Press, c1999.</t>
  </si>
  <si>
    <t>Studies in the history of missions ; v. 18</t>
  </si>
  <si>
    <t>2000-10-05</t>
  </si>
  <si>
    <t>26496091:eng</t>
  </si>
  <si>
    <t>41404341</t>
  </si>
  <si>
    <t>991003306829702656</t>
  </si>
  <si>
    <t>2270011630002656</t>
  </si>
  <si>
    <t>9780773479852</t>
  </si>
  <si>
    <t>32285003767018</t>
  </si>
  <si>
    <t>893617212</t>
  </si>
  <si>
    <t>BV3680.H3 Y95 1927</t>
  </si>
  <si>
    <t>0                      BV 3680000H  3                  Y  95          1927</t>
  </si>
  <si>
    <t>History of the Catholic Mission in the Hawaiian Islands / by Father Reginald Yzendoorn.</t>
  </si>
  <si>
    <t>Yzendoorn, Reginald, 1872-</t>
  </si>
  <si>
    <t>Honolulu, T. H. : Honolulu Star-Bulletin, 1927.</t>
  </si>
  <si>
    <t>2005-06-01</t>
  </si>
  <si>
    <t>18737963:eng</t>
  </si>
  <si>
    <t>5524024</t>
  </si>
  <si>
    <t>991004843059702656</t>
  </si>
  <si>
    <t>2269596990002656</t>
  </si>
  <si>
    <t>32285000929116</t>
  </si>
  <si>
    <t>893876637</t>
  </si>
  <si>
    <t>BV3680.H4 K6 1935</t>
  </si>
  <si>
    <t>0                      BV 3680000H  4                  K  6           1935</t>
  </si>
  <si>
    <t>Mother Marianne of Molokai / by L. V. Jacks.</t>
  </si>
  <si>
    <t>Jacks, L. V. (Leo Vincent), 1896-</t>
  </si>
  <si>
    <t>New York : The Macmillan company, 1935.</t>
  </si>
  <si>
    <t>1935</t>
  </si>
  <si>
    <t>1996-11-03</t>
  </si>
  <si>
    <t>14504049:eng</t>
  </si>
  <si>
    <t>4208892</t>
  </si>
  <si>
    <t>991004609499702656</t>
  </si>
  <si>
    <t>2265251060002656</t>
  </si>
  <si>
    <t>32285000929124</t>
  </si>
  <si>
    <t>893876312</t>
  </si>
  <si>
    <t>BV3680.L52 F4 1952</t>
  </si>
  <si>
    <t>0                      BV 3680000L  52                 F  4           1952</t>
  </si>
  <si>
    <t>Letters from Likiep.</t>
  </si>
  <si>
    <t>Feeney, Thomas J. (Thomas John), 1894-1955.</t>
  </si>
  <si>
    <t>[N. Y. : Pandick Pr., c.1952]</t>
  </si>
  <si>
    <t>1996-01-24</t>
  </si>
  <si>
    <t>8907059441:eng</t>
  </si>
  <si>
    <t>1030198</t>
  </si>
  <si>
    <t>991003482609702656</t>
  </si>
  <si>
    <t>2269276510002656</t>
  </si>
  <si>
    <t>32285000929132</t>
  </si>
  <si>
    <t>893604838</t>
  </si>
  <si>
    <t>BV3703 .D7</t>
  </si>
  <si>
    <t>0                      BV 3703000D  7</t>
  </si>
  <si>
    <t>First white women over the Rockies : diaries, letters, and biographical sketches of the six women of the Oregon Mission who made the overland journey in 1836 and 1838 / with introd. and editorial notes by Clifford Merrill Drury.</t>
  </si>
  <si>
    <t>Drury, Clifford Merrill, 1897-1984, editor.</t>
  </si>
  <si>
    <t>Glendale, Calif., A. H. Clark Co., 1963-1966.</t>
  </si>
  <si>
    <t>Northwest historical series ; 6-8</t>
  </si>
  <si>
    <t>1993-03-05</t>
  </si>
  <si>
    <t>1840191:eng</t>
  </si>
  <si>
    <t>904461</t>
  </si>
  <si>
    <t>991003368679702656</t>
  </si>
  <si>
    <t>2263623660002656</t>
  </si>
  <si>
    <t>32285000929140</t>
  </si>
  <si>
    <t>893686487</t>
  </si>
  <si>
    <t>32285000929165</t>
  </si>
  <si>
    <t>893711320</t>
  </si>
  <si>
    <t>32285000929157</t>
  </si>
  <si>
    <t>893717591</t>
  </si>
  <si>
    <t>BV3755 .I54 1983</t>
  </si>
  <si>
    <t>0                      BV 3755000I  54          1983</t>
  </si>
  <si>
    <t>The calling of an evangelist : the second International Congress for Itinerant Evangelists, Amsterdam, The Netherlands / edited by J.D. Douglas.</t>
  </si>
  <si>
    <t>International Conference for Itinerant Evangelists (2nd : 1986 : Amsterdam, Netherlands)</t>
  </si>
  <si>
    <t>Minneapolis, Minn., U.S.A. : World Wide Publications, c1987.</t>
  </si>
  <si>
    <t>1996-11-07</t>
  </si>
  <si>
    <t>1992-02-19</t>
  </si>
  <si>
    <t>1374155446:eng</t>
  </si>
  <si>
    <t>16411076</t>
  </si>
  <si>
    <t>991001108339702656</t>
  </si>
  <si>
    <t>2258180770002656</t>
  </si>
  <si>
    <t>9780890660874</t>
  </si>
  <si>
    <t>32285000929173</t>
  </si>
  <si>
    <t>893797300</t>
  </si>
  <si>
    <t>BV3770 .P33 1988</t>
  </si>
  <si>
    <t>0                      BV 3770000P  33          1988</t>
  </si>
  <si>
    <t>Evangelism in America : from tents to TV / William Packard.</t>
  </si>
  <si>
    <t>Packard, William.</t>
  </si>
  <si>
    <t>New York : Paragon House, 1988.</t>
  </si>
  <si>
    <t>2000-12-07</t>
  </si>
  <si>
    <t>1990-02-26</t>
  </si>
  <si>
    <t>8361923:eng</t>
  </si>
  <si>
    <t>15108150</t>
  </si>
  <si>
    <t>991000991339702656</t>
  </si>
  <si>
    <t>2267609470002656</t>
  </si>
  <si>
    <t>9781557781796</t>
  </si>
  <si>
    <t>32285000041102</t>
  </si>
  <si>
    <t>893509286</t>
  </si>
  <si>
    <t>BV3773 .B78 1990</t>
  </si>
  <si>
    <t>0                      BV 3773000B  78          1990</t>
  </si>
  <si>
    <t>Pray TV : televangelism in America / Steve Bruce.</t>
  </si>
  <si>
    <t>Bruce, Steve, 1954-</t>
  </si>
  <si>
    <t>London ; New York : Routledge, 1990.</t>
  </si>
  <si>
    <t>1996-11-24</t>
  </si>
  <si>
    <t>1991-06-14</t>
  </si>
  <si>
    <t>22129333:eng</t>
  </si>
  <si>
    <t>20264046</t>
  </si>
  <si>
    <t>991001555909702656</t>
  </si>
  <si>
    <t>2259819460002656</t>
  </si>
  <si>
    <t>9780415030984</t>
  </si>
  <si>
    <t>32285000656644</t>
  </si>
  <si>
    <t>893334384</t>
  </si>
  <si>
    <t>BV3773 .H37 1975</t>
  </si>
  <si>
    <t>0                      BV 3773000H  37          1975</t>
  </si>
  <si>
    <t>All things are possible : the healing &amp; charismatic revivals in modern America / David Edwin Harrell, Jr.</t>
  </si>
  <si>
    <t>Harrell, David Edwin, Jr. 1930-</t>
  </si>
  <si>
    <t>Bloomington : Indiana University Press, [1975]</t>
  </si>
  <si>
    <t>1992-09-24</t>
  </si>
  <si>
    <t>836619357:eng</t>
  </si>
  <si>
    <t>1341340</t>
  </si>
  <si>
    <t>991003704359702656</t>
  </si>
  <si>
    <t>2262325200002656</t>
  </si>
  <si>
    <t>9780253100900</t>
  </si>
  <si>
    <t>32285000929223</t>
  </si>
  <si>
    <t>893349033</t>
  </si>
  <si>
    <t>BV3773 .J67</t>
  </si>
  <si>
    <t>0                      BV 3773000J  67</t>
  </si>
  <si>
    <t>That new-time religion : the Jesus revival in America / Erling Jorstad.</t>
  </si>
  <si>
    <t>Jorstad, Erling, 1930-</t>
  </si>
  <si>
    <t>Minneapolis, Augsburg Pub. House [1972]</t>
  </si>
  <si>
    <t>198952153:eng</t>
  </si>
  <si>
    <t>446324</t>
  </si>
  <si>
    <t>991002799859702656</t>
  </si>
  <si>
    <t>2265635770002656</t>
  </si>
  <si>
    <t>9780806612218</t>
  </si>
  <si>
    <t>32285000929231</t>
  </si>
  <si>
    <t>893498550</t>
  </si>
  <si>
    <t>BV3773 .L83 1989</t>
  </si>
  <si>
    <t>0                      BV 3773000L  83          1989</t>
  </si>
  <si>
    <t>Under God's spell : frontier evangelists, 1772-1915 / by Cathy Luchetti.</t>
  </si>
  <si>
    <t>Luchetti, Cathy, 1945-</t>
  </si>
  <si>
    <t>San Diego : Harcourt Brace Jovanovich, c1989.</t>
  </si>
  <si>
    <t>2008-05-15</t>
  </si>
  <si>
    <t>1990-06-29</t>
  </si>
  <si>
    <t>427485419:eng</t>
  </si>
  <si>
    <t>19811110</t>
  </si>
  <si>
    <t>991001501739702656</t>
  </si>
  <si>
    <t>2262519970002656</t>
  </si>
  <si>
    <t>9780156927918</t>
  </si>
  <si>
    <t>32285005408090</t>
  </si>
  <si>
    <t>893772630</t>
  </si>
  <si>
    <t>BV3773 .N65 2001</t>
  </si>
  <si>
    <t>0                      BV 3773000N  65          2001</t>
  </si>
  <si>
    <t>American evangelical Christianity : an introduction / Mark A. Noll.</t>
  </si>
  <si>
    <t>Noll, Mark A., 1946-</t>
  </si>
  <si>
    <t>Oxford ; Malden, Mass. : Blackwell Publishers, c2001.</t>
  </si>
  <si>
    <t>2008-12-11</t>
  </si>
  <si>
    <t>365025045:eng</t>
  </si>
  <si>
    <t>44493137</t>
  </si>
  <si>
    <t>991005283359702656</t>
  </si>
  <si>
    <t>2269493020002656</t>
  </si>
  <si>
    <t>9780631219996</t>
  </si>
  <si>
    <t>32285005472641</t>
  </si>
  <si>
    <t>893707583</t>
  </si>
  <si>
    <t>BV3773 .T49 1997</t>
  </si>
  <si>
    <t>0                      BV 3773000T  49          1997</t>
  </si>
  <si>
    <t>Revivalism and cultural change : Christianity, nation building, and the market in the nineteenth-century United States / George M. Thomas.</t>
  </si>
  <si>
    <t>Thomas, George M.</t>
  </si>
  <si>
    <t>Chicago : University of Chicago Press, 1997.</t>
  </si>
  <si>
    <t>Pbk. ed.</t>
  </si>
  <si>
    <t>2000-09-05</t>
  </si>
  <si>
    <t>1999-05-19</t>
  </si>
  <si>
    <t>836756162:eng</t>
  </si>
  <si>
    <t>41392112</t>
  </si>
  <si>
    <t>991003027259702656</t>
  </si>
  <si>
    <t>2255963930002656</t>
  </si>
  <si>
    <t>9780226795867</t>
  </si>
  <si>
    <t>32285003571303</t>
  </si>
  <si>
    <t>893352653</t>
  </si>
  <si>
    <t>BV3777.D6 O83 1970</t>
  </si>
  <si>
    <t>0                      BV 3777000D  6                  O  83          1970</t>
  </si>
  <si>
    <t>The Other revolution : the dramatic story of another revolution in the Dominican Republic / compiled by Juan M. Isais.</t>
  </si>
  <si>
    <t>Waco, Tex. : Word Books, c1970.</t>
  </si>
  <si>
    <t>2001-08-23</t>
  </si>
  <si>
    <t>347294972:eng</t>
  </si>
  <si>
    <t>125377</t>
  </si>
  <si>
    <t>991003594609702656</t>
  </si>
  <si>
    <t>2260372820002656</t>
  </si>
  <si>
    <t>32285004380589</t>
  </si>
  <si>
    <t>893505744</t>
  </si>
  <si>
    <t>BV3777.L3 B6413 1991</t>
  </si>
  <si>
    <t>0                      BV 3777000L  3                  B  6413        1991</t>
  </si>
  <si>
    <t>New evangelization : good news to the poor / Leonardo Boff ; translated from the Portuguese by Robert R. Barr.</t>
  </si>
  <si>
    <t>Boff, Leonardo.</t>
  </si>
  <si>
    <t>Maryknoll, N.Y. : Orbis Books, c1991.</t>
  </si>
  <si>
    <t>2008-03-18</t>
  </si>
  <si>
    <t>1992-09-14</t>
  </si>
  <si>
    <t>2863508010:eng</t>
  </si>
  <si>
    <t>24246692</t>
  </si>
  <si>
    <t>991001920849702656</t>
  </si>
  <si>
    <t>2264176520002656</t>
  </si>
  <si>
    <t>9780883447789</t>
  </si>
  <si>
    <t>32285001287001</t>
  </si>
  <si>
    <t>893516681</t>
  </si>
  <si>
    <t>BV3777.N56 E46 2004</t>
  </si>
  <si>
    <t>0                      BV 3777000N  56                 E  46          2004</t>
  </si>
  <si>
    <t>Embodying the Spirit : new perspectives on North American revivalism / edited by Michael J. McClymond.</t>
  </si>
  <si>
    <t>Baltimore, Md. : Johns Hopkins University Press, 2004.</t>
  </si>
  <si>
    <t>2004-09-23</t>
  </si>
  <si>
    <t>1353791009:eng</t>
  </si>
  <si>
    <t>52559101</t>
  </si>
  <si>
    <t>991004358359702656</t>
  </si>
  <si>
    <t>2272430220002656</t>
  </si>
  <si>
    <t>9780801878077</t>
  </si>
  <si>
    <t>32285004988902</t>
  </si>
  <si>
    <t>893446163</t>
  </si>
  <si>
    <t>BV3780 .M67 1973</t>
  </si>
  <si>
    <t>0                      BV 3780000M  67          1973</t>
  </si>
  <si>
    <t>The preachers / James Morris ; illus. by Tom Huffman.</t>
  </si>
  <si>
    <t>Morris, Jan, 1926-</t>
  </si>
  <si>
    <t>New York : St. Martin's Press, [1973]</t>
  </si>
  <si>
    <t>2000-08-21</t>
  </si>
  <si>
    <t>2044643042:eng</t>
  </si>
  <si>
    <t>704687</t>
  </si>
  <si>
    <t>991003269639702656</t>
  </si>
  <si>
    <t>2259165860002656</t>
  </si>
  <si>
    <t>32285003758033</t>
  </si>
  <si>
    <t>893227888</t>
  </si>
  <si>
    <t>BV3785.B3 B37 1988</t>
  </si>
  <si>
    <t>0                      BV 3785000B  3                  B  37          1988</t>
  </si>
  <si>
    <t>Jim and Tammy : charismatic intrigue inside PTL / by Joe E. Barnhart with Stephen Winzenburg.</t>
  </si>
  <si>
    <t>Barnhart, Joe E., 1931-</t>
  </si>
  <si>
    <t>Buffalo, NY : Prometheus Books, 1988.</t>
  </si>
  <si>
    <t>1999-02-25</t>
  </si>
  <si>
    <t>13912789:eng</t>
  </si>
  <si>
    <t>16985904</t>
  </si>
  <si>
    <t>991001174749702656</t>
  </si>
  <si>
    <t>2272073830002656</t>
  </si>
  <si>
    <t>9780879754600</t>
  </si>
  <si>
    <t>32285000123967</t>
  </si>
  <si>
    <t>893256074</t>
  </si>
  <si>
    <t>BV3785.B3 M27 1988</t>
  </si>
  <si>
    <t>0                      BV 3785000B  3                  M  27          1988</t>
  </si>
  <si>
    <t>Ministry of greed : the inside story of the televangelists and their holy wars / by Larry Martz with Ginny Carroll.</t>
  </si>
  <si>
    <t>Martz, Larry.</t>
  </si>
  <si>
    <t>New York : Weidenfeld &amp; Nicolson, c1988.</t>
  </si>
  <si>
    <t>A Newsweek book</t>
  </si>
  <si>
    <t>889889433:eng</t>
  </si>
  <si>
    <t>17873187</t>
  </si>
  <si>
    <t>991001275059702656</t>
  </si>
  <si>
    <t>2269581690002656</t>
  </si>
  <si>
    <t>9781555842161</t>
  </si>
  <si>
    <t>32285000981422</t>
  </si>
  <si>
    <t>893602486</t>
  </si>
  <si>
    <t>BV3785.B3 S48 1989</t>
  </si>
  <si>
    <t>0                      BV 3785000B  3                  S  48          1989</t>
  </si>
  <si>
    <t>Forgiven : the rise and fall of Jim Bakker and the PTL ministry / Charles E. Shepard.</t>
  </si>
  <si>
    <t>Shepard, Charles E.</t>
  </si>
  <si>
    <t>New York, NY : Atlantic Monthly Press, c1989.</t>
  </si>
  <si>
    <t>1989-12-05</t>
  </si>
  <si>
    <t>21843789:eng</t>
  </si>
  <si>
    <t>19742635</t>
  </si>
  <si>
    <t>991001495169702656</t>
  </si>
  <si>
    <t>2265554840002656</t>
  </si>
  <si>
    <t>9780871132932</t>
  </si>
  <si>
    <t>32285000017391</t>
  </si>
  <si>
    <t>893256281</t>
  </si>
  <si>
    <t>BV3785.G69 A3 1997</t>
  </si>
  <si>
    <t>0                      BV 3785000G  69                 A  3           1997</t>
  </si>
  <si>
    <t>Just as I am : the autobiography of Billy Graham / Billy Graham.</t>
  </si>
  <si>
    <t>Graham, Billy, 1918-2018.</t>
  </si>
  <si>
    <t>[San Francisco, Calif.] : HarperSanFrancisco ; [Grand Rapids, Mich.] : Zondervan, c1997.</t>
  </si>
  <si>
    <t>2006-10-26</t>
  </si>
  <si>
    <t>1997-07-08</t>
  </si>
  <si>
    <t>587872:eng</t>
  </si>
  <si>
    <t>36225259</t>
  </si>
  <si>
    <t>991002761689702656</t>
  </si>
  <si>
    <t>2272527460002656</t>
  </si>
  <si>
    <t>9780060633431</t>
  </si>
  <si>
    <t>32285002880887</t>
  </si>
  <si>
    <t>893535181</t>
  </si>
  <si>
    <t>BV3785.H348 H3 1973</t>
  </si>
  <si>
    <t>0                      BV 3785000H  348                H  3           1973</t>
  </si>
  <si>
    <t>The prophet Harris : a study of an African prophet and his mass-movement in the Ivory Coast and the Gold Coast, 1913-1915 / Gordon Mackay Haliburton.</t>
  </si>
  <si>
    <t>Haliburton, Gordon MacKay.</t>
  </si>
  <si>
    <t>New York, Oxford University Press, 1973.</t>
  </si>
  <si>
    <t>1992-03-23</t>
  </si>
  <si>
    <t>919240627:eng</t>
  </si>
  <si>
    <t>642243</t>
  </si>
  <si>
    <t>991003092149702656</t>
  </si>
  <si>
    <t>2262303500002656</t>
  </si>
  <si>
    <t>9780195016260</t>
  </si>
  <si>
    <t>32285000929355</t>
  </si>
  <si>
    <t>893698663</t>
  </si>
  <si>
    <t>BV3785.R595 B67 1996</t>
  </si>
  <si>
    <t>0                      BV 3785000R  595                B  67          1996</t>
  </si>
  <si>
    <t>The most dangerous man in America? : Pat Robertson and the rise of the Christian Coalition / Robert Boston.</t>
  </si>
  <si>
    <t>Boston, Rob, 1962-</t>
  </si>
  <si>
    <t>Amherst, N.Y. : Prometheus Books, 1996.</t>
  </si>
  <si>
    <t>1996-05-21</t>
  </si>
  <si>
    <t>889660760:eng</t>
  </si>
  <si>
    <t>34079082</t>
  </si>
  <si>
    <t>991002601979702656</t>
  </si>
  <si>
    <t>2268856790002656</t>
  </si>
  <si>
    <t>9781573920537</t>
  </si>
  <si>
    <t>32285002176021</t>
  </si>
  <si>
    <t>893792660</t>
  </si>
  <si>
    <t>BV3785.R595 F64 1996</t>
  </si>
  <si>
    <t>0                      BV 3785000R  595                F  64          1996</t>
  </si>
  <si>
    <t>The empire God built : inside Pat Robertson's media machine / Alec Foege.</t>
  </si>
  <si>
    <t>Foege, Alec.</t>
  </si>
  <si>
    <t>New York : John Wiley &amp; Sons, c1996.</t>
  </si>
  <si>
    <t>2004-10-15</t>
  </si>
  <si>
    <t>1997-04-28</t>
  </si>
  <si>
    <t>20950640:eng</t>
  </si>
  <si>
    <t>35198710</t>
  </si>
  <si>
    <t>991002696089702656</t>
  </si>
  <si>
    <t>2260363030002656</t>
  </si>
  <si>
    <t>9780471159933</t>
  </si>
  <si>
    <t>32285002541091</t>
  </si>
  <si>
    <t>893873875</t>
  </si>
  <si>
    <t>BV3790 .C37 1989</t>
  </si>
  <si>
    <t>0                      BV 3790000C  37          1989</t>
  </si>
  <si>
    <t>Evangelization in the culture and society of the United States and the bishop as teacher of the faith : meeting of His Holiness John Paul II with the Archbishops of the United States, March 8-11, 1989.</t>
  </si>
  <si>
    <t>Washington, D.C. : United States Catholic Conference, c1989.</t>
  </si>
  <si>
    <t>Publication / Office of Publishing and Promotion Services, United States Catholic Conference ; no. 278-0</t>
  </si>
  <si>
    <t>21439355:eng</t>
  </si>
  <si>
    <t>20170633</t>
  </si>
  <si>
    <t>991001521289702656</t>
  </si>
  <si>
    <t>2257753840002656</t>
  </si>
  <si>
    <t>9781555862787</t>
  </si>
  <si>
    <t>32285000929371</t>
  </si>
  <si>
    <t>893872577</t>
  </si>
  <si>
    <t>BV3790 .T57 1986</t>
  </si>
  <si>
    <t>0                      BV 3790000T  57          1986</t>
  </si>
  <si>
    <t>The priest in the pew / by Richard J. Tlapa.</t>
  </si>
  <si>
    <t>Tlapa, Richard J.</t>
  </si>
  <si>
    <t>Columbus, Ga. : Brentwood Christian Press ; Chicago, Ill. : Distributed by Franciscan Herald Press, c1986.</t>
  </si>
  <si>
    <t>2005-10-25</t>
  </si>
  <si>
    <t>4893530:eng</t>
  </si>
  <si>
    <t>12554467</t>
  </si>
  <si>
    <t>991000703949702656</t>
  </si>
  <si>
    <t>2259639060002656</t>
  </si>
  <si>
    <t>9780819908902</t>
  </si>
  <si>
    <t>32285005138978</t>
  </si>
  <si>
    <t>893339806</t>
  </si>
  <si>
    <t>BV3793 .C3713 1993</t>
  </si>
  <si>
    <t>0                      BV 3793000C  3713        1993</t>
  </si>
  <si>
    <t>Evangelizing the culture of modernity / Hervé Carrier.</t>
  </si>
  <si>
    <t>Carrier, Hervé, 1921-</t>
  </si>
  <si>
    <t>Maryknoll, N.Y. : Orbis Books, c1993.</t>
  </si>
  <si>
    <t>Faith and cultures series</t>
  </si>
  <si>
    <t>2006-03-24</t>
  </si>
  <si>
    <t>1994-07-29</t>
  </si>
  <si>
    <t>8908335335:eng</t>
  </si>
  <si>
    <t>28255699</t>
  </si>
  <si>
    <t>991002196999702656</t>
  </si>
  <si>
    <t>2264250290002656</t>
  </si>
  <si>
    <t>9780883448984</t>
  </si>
  <si>
    <t>32285001934602</t>
  </si>
  <si>
    <t>893250927</t>
  </si>
  <si>
    <t>BV3793 .S6775 2002</t>
  </si>
  <si>
    <t>0                      BV 3793000S  6775        2002</t>
  </si>
  <si>
    <t>The strange new word of the Gospel : re-evangelizing in the postmodern world / edited by Carl E. Braaten and Robert W. Jenson.</t>
  </si>
  <si>
    <t>Grand Rapids, Mich. : W.B. Eerdmans, c2002.</t>
  </si>
  <si>
    <t>2005-06-15</t>
  </si>
  <si>
    <t>2004-01-28</t>
  </si>
  <si>
    <t>350359254:eng</t>
  </si>
  <si>
    <t>49618505</t>
  </si>
  <si>
    <t>991004222319702656</t>
  </si>
  <si>
    <t>2267225960002656</t>
  </si>
  <si>
    <t>9780802839473</t>
  </si>
  <si>
    <t>32285004636238</t>
  </si>
  <si>
    <t>893800749</t>
  </si>
  <si>
    <t>BV40 .C6 1953</t>
  </si>
  <si>
    <t>0                      BV 0040000C  6           1953</t>
  </si>
  <si>
    <t>Spiritual steps to Christmas / Aloysius Coogan.</t>
  </si>
  <si>
    <t>Coogan, Aloysius F.</t>
  </si>
  <si>
    <t>Milwaukee : Bruce Pub. Co., [1953]</t>
  </si>
  <si>
    <t>2008-12-08</t>
  </si>
  <si>
    <t>12104847:eng</t>
  </si>
  <si>
    <t>3766725</t>
  </si>
  <si>
    <t>991004511259702656</t>
  </si>
  <si>
    <t>2259252710002656</t>
  </si>
  <si>
    <t>32285000835016</t>
  </si>
  <si>
    <t>893782324</t>
  </si>
  <si>
    <t>BV40 .G65 1915</t>
  </si>
  <si>
    <t>0                      BV 0040000G  65          1915</t>
  </si>
  <si>
    <t>The Prince of Peace : meditations / by Alban Goodier.</t>
  </si>
  <si>
    <t>Goodier, Alban, 1869-1939.</t>
  </si>
  <si>
    <t>New York : Benziger Brothers ; London : Burns Oates &amp; Washbourne, [1915]</t>
  </si>
  <si>
    <t>1915</t>
  </si>
  <si>
    <t>1996-12-19</t>
  </si>
  <si>
    <t>1990-02-09</t>
  </si>
  <si>
    <t>8889718:eng</t>
  </si>
  <si>
    <t>4725454</t>
  </si>
  <si>
    <t>991004707189702656</t>
  </si>
  <si>
    <t>2256770640002656</t>
  </si>
  <si>
    <t>32285000045061</t>
  </si>
  <si>
    <t>893417922</t>
  </si>
  <si>
    <t>BV4006 .B76 1987</t>
  </si>
  <si>
    <t>0                      BV 4006000B  76          1987</t>
  </si>
  <si>
    <t>Pastor and laity in the theology of Jean Gerson / D. Catherine Brown.</t>
  </si>
  <si>
    <t>Brown, D. Catherine (Dorothy Catherine), 1928-</t>
  </si>
  <si>
    <t>Cambridge [Cambridgeshire] ; New York : Cambridge University Press, 1987.</t>
  </si>
  <si>
    <t>2009-12-10</t>
  </si>
  <si>
    <t>2009-11-17</t>
  </si>
  <si>
    <t>7351417:eng</t>
  </si>
  <si>
    <t>13823387</t>
  </si>
  <si>
    <t>991005182169702656</t>
  </si>
  <si>
    <t>2267640320002656</t>
  </si>
  <si>
    <t>9780521044752</t>
  </si>
  <si>
    <t>32285005551485</t>
  </si>
  <si>
    <t>893713583</t>
  </si>
  <si>
    <t>BV4006 .C66 1976</t>
  </si>
  <si>
    <t>0                      BV 4006000C  66          1976</t>
  </si>
  <si>
    <t>Ministry to word and sacraments : history and theology / Bernard Cooke.</t>
  </si>
  <si>
    <t>Philadelphia : Fortress Press, c1976.</t>
  </si>
  <si>
    <t>1998-06-16</t>
  </si>
  <si>
    <t>293498937:eng</t>
  </si>
  <si>
    <t>2498166</t>
  </si>
  <si>
    <t>991004140939702656</t>
  </si>
  <si>
    <t>2263110710002656</t>
  </si>
  <si>
    <t>9780800604400</t>
  </si>
  <si>
    <t>32285000929454</t>
  </si>
  <si>
    <t>893781901</t>
  </si>
  <si>
    <t>BV4011 .A488 2001</t>
  </si>
  <si>
    <t>0                      BV 4011000A  488         2001</t>
  </si>
  <si>
    <t>Mighty stories, dangerous rituals : weaving together the human and the divine / Herbert Anderson, Edward Foley.</t>
  </si>
  <si>
    <t>Anderson, Herbert, 1936-</t>
  </si>
  <si>
    <t>San Francisco : Jossey-Bass, 2001, c1998.</t>
  </si>
  <si>
    <t>1st pbk. ed.</t>
  </si>
  <si>
    <t>2001-10-03</t>
  </si>
  <si>
    <t>2001-06-05</t>
  </si>
  <si>
    <t>797129848:eng</t>
  </si>
  <si>
    <t>46943339</t>
  </si>
  <si>
    <t>991003534969702656</t>
  </si>
  <si>
    <t>2269670170002656</t>
  </si>
  <si>
    <t>9780787956486</t>
  </si>
  <si>
    <t>32285004325071</t>
  </si>
  <si>
    <t>893711458</t>
  </si>
  <si>
    <t>BV4011 .F45 1986</t>
  </si>
  <si>
    <t>0                      BV 4011000F  45          1986</t>
  </si>
  <si>
    <t>Mutual ministry : new vitality for the local church / James C. Fenhagen.</t>
  </si>
  <si>
    <t>Fenhagen, James C.</t>
  </si>
  <si>
    <t>San Francisco : Harper &amp; Row, 1986, c1977.</t>
  </si>
  <si>
    <t>1st Harper &amp; Row pbk. ed.</t>
  </si>
  <si>
    <t>1994-11-14</t>
  </si>
  <si>
    <t>378225761:eng</t>
  </si>
  <si>
    <t>13667233</t>
  </si>
  <si>
    <t>991000858079702656</t>
  </si>
  <si>
    <t>2272101300002656</t>
  </si>
  <si>
    <t>9780866835336</t>
  </si>
  <si>
    <t>32285000929538</t>
  </si>
  <si>
    <t>893444491</t>
  </si>
  <si>
    <t>BV4011 .F47 1989</t>
  </si>
  <si>
    <t>0                      BV 4011000F  47          1989</t>
  </si>
  <si>
    <t>Partnership : women &amp; men in ministry / Fran Ferder &amp; John Heagle.</t>
  </si>
  <si>
    <t>Ferder, Fran.</t>
  </si>
  <si>
    <t>Notre Dame, IN : Ave Maria Press, c1989.</t>
  </si>
  <si>
    <t>2008-06-09</t>
  </si>
  <si>
    <t>283107530:eng</t>
  </si>
  <si>
    <t>19844917</t>
  </si>
  <si>
    <t>991005232359702656</t>
  </si>
  <si>
    <t>2268711930002656</t>
  </si>
  <si>
    <t>9780877933991</t>
  </si>
  <si>
    <t>32285005443774</t>
  </si>
  <si>
    <t>893350947</t>
  </si>
  <si>
    <t>BV4011 .H583 1981</t>
  </si>
  <si>
    <t>0                      BV 4011000H  583         1981</t>
  </si>
  <si>
    <t>Ministry and imagination / Urban T. Holmes III.</t>
  </si>
  <si>
    <t>Holmes, Urban T., III, 1930-1981.</t>
  </si>
  <si>
    <t>New York : Seabury Press, 1981, c1976.</t>
  </si>
  <si>
    <t>[Pbk. ed.]</t>
  </si>
  <si>
    <t>2001-07-14</t>
  </si>
  <si>
    <t>1997-12-15</t>
  </si>
  <si>
    <t>400666660:eng</t>
  </si>
  <si>
    <t>9160454</t>
  </si>
  <si>
    <t>991000141929702656</t>
  </si>
  <si>
    <t>2261566000002656</t>
  </si>
  <si>
    <t>9780816423514</t>
  </si>
  <si>
    <t>32285003283305</t>
  </si>
  <si>
    <t>893327064</t>
  </si>
  <si>
    <t>BV4011 .J29 1981</t>
  </si>
  <si>
    <t>0                      BV 4011000J  29          1981</t>
  </si>
  <si>
    <t>Pastoral care and process theology / Gordon E. Jackson.</t>
  </si>
  <si>
    <t>Jackson, Gordon E.</t>
  </si>
  <si>
    <t>Washington, D.C. : University Press of America, c1981.</t>
  </si>
  <si>
    <t>1993-09-24</t>
  </si>
  <si>
    <t>483260:eng</t>
  </si>
  <si>
    <t>7737186</t>
  </si>
  <si>
    <t>991005153699702656</t>
  </si>
  <si>
    <t>2257412470002656</t>
  </si>
  <si>
    <t>9780819117106</t>
  </si>
  <si>
    <t>32285000929546</t>
  </si>
  <si>
    <t>893443495</t>
  </si>
  <si>
    <t>BV4011 .N68</t>
  </si>
  <si>
    <t>0                      BV 4011000N  68</t>
  </si>
  <si>
    <t>Creative ministry / [by] Henri J. M. Nouwen.</t>
  </si>
  <si>
    <t>Nouwen, Henri J. M.</t>
  </si>
  <si>
    <t>Garden City, N.Y., Doubleday, 1971.</t>
  </si>
  <si>
    <t>2007-07-24</t>
  </si>
  <si>
    <t>1990-02-14</t>
  </si>
  <si>
    <t>1177480:eng</t>
  </si>
  <si>
    <t>152930</t>
  </si>
  <si>
    <t>991000885619702656</t>
  </si>
  <si>
    <t>2271745890002656</t>
  </si>
  <si>
    <t>32285000052364</t>
  </si>
  <si>
    <t>893327677</t>
  </si>
  <si>
    <t>BV4011 .P35 1977</t>
  </si>
  <si>
    <t>0                      BV 4011000P  35          1977</t>
  </si>
  <si>
    <t>Pastor and parish : a systems approach / E. Mansell Pattison.</t>
  </si>
  <si>
    <t>Pattison, E. Mansell, 1933-</t>
  </si>
  <si>
    <t>Philadelphia : Fortress Press, c1977.</t>
  </si>
  <si>
    <t>Creative pastoral care and counseling series</t>
  </si>
  <si>
    <t>2002-07-26</t>
  </si>
  <si>
    <t>1997-09-09</t>
  </si>
  <si>
    <t>10177721:eng</t>
  </si>
  <si>
    <t>3345858</t>
  </si>
  <si>
    <t>991004411929702656</t>
  </si>
  <si>
    <t>2255642770002656</t>
  </si>
  <si>
    <t>9780800605599</t>
  </si>
  <si>
    <t>32285003004479</t>
  </si>
  <si>
    <t>893500526</t>
  </si>
  <si>
    <t>BV4011 .P39 1980</t>
  </si>
  <si>
    <t>0                      BV 4011000P  39          1980</t>
  </si>
  <si>
    <t>The positive power of Jesus Christ / Norman Vincent Peale.</t>
  </si>
  <si>
    <t>Peale, Norman Vincent, 1898-1993.</t>
  </si>
  <si>
    <t>Pawling, N.Y. : Foundation for Christian Living, c1980.</t>
  </si>
  <si>
    <t>Special FCL ed.</t>
  </si>
  <si>
    <t>62536104:eng</t>
  </si>
  <si>
    <t>8851498</t>
  </si>
  <si>
    <t>991000015979702656</t>
  </si>
  <si>
    <t>2260085420002656</t>
  </si>
  <si>
    <t>32285005589238</t>
  </si>
  <si>
    <t>893333130</t>
  </si>
  <si>
    <t>BV4011 .R52 1987</t>
  </si>
  <si>
    <t>0                      BV 4011000R  52          1987</t>
  </si>
  <si>
    <t>Co-creating : a feminist vision of ministry / Lynn N. Rhodes.</t>
  </si>
  <si>
    <t>Rhodes, Lynn N., 1943-</t>
  </si>
  <si>
    <t>Philadelphia : Westminster Press, c1987.</t>
  </si>
  <si>
    <t>1998-12-02</t>
  </si>
  <si>
    <t>1990-01-23</t>
  </si>
  <si>
    <t>891844270:eng</t>
  </si>
  <si>
    <t>15589267</t>
  </si>
  <si>
    <t>991001040739702656</t>
  </si>
  <si>
    <t>2267143700002656</t>
  </si>
  <si>
    <t>9780664240325</t>
  </si>
  <si>
    <t>32285000029511</t>
  </si>
  <si>
    <t>893702683</t>
  </si>
  <si>
    <t>BV4011 .R67 1988</t>
  </si>
  <si>
    <t>0                      BV 4011000R  67          1988</t>
  </si>
  <si>
    <t>Pillars of flame : power, priesthood, and spiritual maturity / Maggie Ross.</t>
  </si>
  <si>
    <t>Ross, Maggie, 1941-</t>
  </si>
  <si>
    <t>San Francisco : Harper &amp; Row, c1988.</t>
  </si>
  <si>
    <t>2002-08-12</t>
  </si>
  <si>
    <t>287200853:eng</t>
  </si>
  <si>
    <t>17842030</t>
  </si>
  <si>
    <t>991003854689702656</t>
  </si>
  <si>
    <t>2260560390002656</t>
  </si>
  <si>
    <t>9780062548405</t>
  </si>
  <si>
    <t>32285004642376</t>
  </si>
  <si>
    <t>893252887</t>
  </si>
  <si>
    <t>BV4011 .S34713</t>
  </si>
  <si>
    <t>0                      BV 4011000S  34713</t>
  </si>
  <si>
    <t>Ministry, leadership in the community of Jesus Christ / Edward Schillebeeckx ; [translated by John Bowden from the Dutch].</t>
  </si>
  <si>
    <t>Schillebeeckx, Edward, 1914-2009.</t>
  </si>
  <si>
    <t>New York : Crossroad, 1981.</t>
  </si>
  <si>
    <t>1994-09-01</t>
  </si>
  <si>
    <t>369181797:eng</t>
  </si>
  <si>
    <t>7246688</t>
  </si>
  <si>
    <t>991005092609702656</t>
  </si>
  <si>
    <t>2270723340002656</t>
  </si>
  <si>
    <t>32285000929587</t>
  </si>
  <si>
    <t>893905222</t>
  </si>
  <si>
    <t>BV4011 .S865 1996</t>
  </si>
  <si>
    <t>0                      BV 4011000S  865         1996</t>
  </si>
  <si>
    <t>Compassionate ministry : theological foundations / Bryan P. Stone.</t>
  </si>
  <si>
    <t>Stone, Bryan P., 1959-</t>
  </si>
  <si>
    <t>Maryknoll, N.Y. : Orbis Books, c1996.</t>
  </si>
  <si>
    <t>2002-03-15</t>
  </si>
  <si>
    <t>1996-10-07</t>
  </si>
  <si>
    <t>796079691:eng</t>
  </si>
  <si>
    <t>34029331</t>
  </si>
  <si>
    <t>991002597129702656</t>
  </si>
  <si>
    <t>2256178790002656</t>
  </si>
  <si>
    <t>9781570750694</t>
  </si>
  <si>
    <t>32285002323367</t>
  </si>
  <si>
    <t>893427769</t>
  </si>
  <si>
    <t>BV4011.3 .A76 2005</t>
  </si>
  <si>
    <t>0                      BV 4011300A  76          2005</t>
  </si>
  <si>
    <t>Help! I'm a pastor! : a guide to parish ministry / Richard Stoll Armstrong, with Kirk Walker Morledge ; foreword by George H. Gallup, Jr.</t>
  </si>
  <si>
    <t>Armstrong, Richard Stoll, 1924-</t>
  </si>
  <si>
    <t>Louisville, Ky. : Westminster John Knox Press, c2005.</t>
  </si>
  <si>
    <t>2007-05-15</t>
  </si>
  <si>
    <t>17507858:eng</t>
  </si>
  <si>
    <t>57068827</t>
  </si>
  <si>
    <t>991005079389702656</t>
  </si>
  <si>
    <t>2265186230002656</t>
  </si>
  <si>
    <t>9780664228958</t>
  </si>
  <si>
    <t>32285005312805</t>
  </si>
  <si>
    <t>893338469</t>
  </si>
  <si>
    <t>BV4011.4 .H54 2000</t>
  </si>
  <si>
    <t>0                      BV 4011400H  54          2000</t>
  </si>
  <si>
    <t>A time for change? : revisioning your call / James E. Hightower, Jr. and W. Craig Gilliam ; foreword by Richard N. Bolles.</t>
  </si>
  <si>
    <t>Hightower, James E.</t>
  </si>
  <si>
    <t>[Bethesda, MD] : Alban Institute, c2000.</t>
  </si>
  <si>
    <t>2007-05-23</t>
  </si>
  <si>
    <t>2059634082:eng</t>
  </si>
  <si>
    <t>45277993</t>
  </si>
  <si>
    <t>991005080009702656</t>
  </si>
  <si>
    <t>2266596260002656</t>
  </si>
  <si>
    <t>9781566992336</t>
  </si>
  <si>
    <t>32285005314199</t>
  </si>
  <si>
    <t>893236235</t>
  </si>
  <si>
    <t>BV4011.5 .B76</t>
  </si>
  <si>
    <t>0                      BV 4011500B  76</t>
  </si>
  <si>
    <t>The moral context of pastoral care / Don S. Browning.</t>
  </si>
  <si>
    <t>Browning, Don S.</t>
  </si>
  <si>
    <t>Philadelphia : Westminster Press, c1976.</t>
  </si>
  <si>
    <t>1997-03-17</t>
  </si>
  <si>
    <t>4002428:eng</t>
  </si>
  <si>
    <t>2074375</t>
  </si>
  <si>
    <t>991004002019702656</t>
  </si>
  <si>
    <t>2263914020002656</t>
  </si>
  <si>
    <t>9780664207427</t>
  </si>
  <si>
    <t>32285000929611</t>
  </si>
  <si>
    <t>893343347</t>
  </si>
  <si>
    <t>BV4011.5 .C45 1994</t>
  </si>
  <si>
    <t>0                      BV 4011500C  45          1994</t>
  </si>
  <si>
    <t>Clergy sexual misconduct : Orthodox Christian perspectives / edited by John T. Chirban ; with a foreword by Archbishop Iakovos.</t>
  </si>
  <si>
    <t>Brookline, MA : Hellenic College Press, 1994.</t>
  </si>
  <si>
    <t>2003-04-01</t>
  </si>
  <si>
    <t>1998-04-13</t>
  </si>
  <si>
    <t>2452874500:eng</t>
  </si>
  <si>
    <t>34984093</t>
  </si>
  <si>
    <t>991002675489702656</t>
  </si>
  <si>
    <t>2267802970002656</t>
  </si>
  <si>
    <t>9780917653445</t>
  </si>
  <si>
    <t>32285003384509</t>
  </si>
  <si>
    <t>893886571</t>
  </si>
  <si>
    <t>BV4011.5 .L44 1991</t>
  </si>
  <si>
    <t>0                      BV 4011500L  44          1991</t>
  </si>
  <si>
    <t>Sex in the parish / Karen Lebacqz, Ronald G. Barton.</t>
  </si>
  <si>
    <t>Lebacqz, Karen, 1945-</t>
  </si>
  <si>
    <t>Louisville, Ky. : Westminster/J. Knox Press, c1991.</t>
  </si>
  <si>
    <t>1994-02-23</t>
  </si>
  <si>
    <t>1032829:eng</t>
  </si>
  <si>
    <t>23080803</t>
  </si>
  <si>
    <t>991001837249702656</t>
  </si>
  <si>
    <t>2259333400002656</t>
  </si>
  <si>
    <t>9780664250874</t>
  </si>
  <si>
    <t>32285001843282</t>
  </si>
  <si>
    <t>893433174</t>
  </si>
  <si>
    <t>BV4011.5 W55 2000</t>
  </si>
  <si>
    <t>0                      BV 4011500W  55          2000</t>
  </si>
  <si>
    <t>Calling &amp; character : virtues of the ordained life / William H. Willimon.</t>
  </si>
  <si>
    <t>Nashville : Abingdon Press, c2000.</t>
  </si>
  <si>
    <t>2009-09-02</t>
  </si>
  <si>
    <t>2006-05-23</t>
  </si>
  <si>
    <t>34333678:eng</t>
  </si>
  <si>
    <t>44579032</t>
  </si>
  <si>
    <t>991004780469702656</t>
  </si>
  <si>
    <t>2270351030002656</t>
  </si>
  <si>
    <t>9780687090334</t>
  </si>
  <si>
    <t>32285005188684</t>
  </si>
  <si>
    <t>893513674</t>
  </si>
  <si>
    <t>BV4011.6 .H56 1999</t>
  </si>
  <si>
    <t>0                      BV 4011600H  56          1999</t>
  </si>
  <si>
    <t>Spiritual preparation for Christian leadership / E. Glenn Hinson.</t>
  </si>
  <si>
    <t>Hinson, E. Glenn.</t>
  </si>
  <si>
    <t>Nashville, Tenn. : Upper Room Books, c1999.</t>
  </si>
  <si>
    <t>26265884:eng</t>
  </si>
  <si>
    <t>40595282</t>
  </si>
  <si>
    <t>991005117639702656</t>
  </si>
  <si>
    <t>2262114310002656</t>
  </si>
  <si>
    <t>9780835808880</t>
  </si>
  <si>
    <t>32285005326219</t>
  </si>
  <si>
    <t>893876968</t>
  </si>
  <si>
    <t>BV4011.6 .L44 1989</t>
  </si>
  <si>
    <t>0                      BV 4011600L  44          1989</t>
  </si>
  <si>
    <t>Spirituality and pastoral care / Kenneth Leech.</t>
  </si>
  <si>
    <t>Cambridge, Mass. : Cowley Publications, c1989.</t>
  </si>
  <si>
    <t>2005-04-18</t>
  </si>
  <si>
    <t>138632547:eng</t>
  </si>
  <si>
    <t>20217263</t>
  </si>
  <si>
    <t>991001549549702656</t>
  </si>
  <si>
    <t>2271468400002656</t>
  </si>
  <si>
    <t>9780936384849</t>
  </si>
  <si>
    <t>32285000041276</t>
  </si>
  <si>
    <t>893414303</t>
  </si>
  <si>
    <t>BV4011.6 .N68 1977</t>
  </si>
  <si>
    <t>0                      BV 4011600N  68          1977</t>
  </si>
  <si>
    <t>The living reminder : service and prayer in memory of Jesus Christ / Henri J. M. Nouwen.</t>
  </si>
  <si>
    <t>New York : Seabury Press, 1977.</t>
  </si>
  <si>
    <t>2000-07-11</t>
  </si>
  <si>
    <t>513290:eng</t>
  </si>
  <si>
    <t>2655621</t>
  </si>
  <si>
    <t>991004202099702656</t>
  </si>
  <si>
    <t>2256199340002656</t>
  </si>
  <si>
    <t>9780816412198</t>
  </si>
  <si>
    <t>32285000929629</t>
  </si>
  <si>
    <t>893624472</t>
  </si>
  <si>
    <t>BV4012 .C315</t>
  </si>
  <si>
    <t>0                      BV 4012000C  315</t>
  </si>
  <si>
    <t>Helping the helpers to help : mental health consultation to aid clergymen in pastoral work / by Ruth B. Caplan in collaboration with Gerald Caplan [and others]</t>
  </si>
  <si>
    <t>Caplan, Ruth B.</t>
  </si>
  <si>
    <t>2007-12-12</t>
  </si>
  <si>
    <t>375552159:eng</t>
  </si>
  <si>
    <t>488486</t>
  </si>
  <si>
    <t>991001763849702656</t>
  </si>
  <si>
    <t>2256152050002656</t>
  </si>
  <si>
    <t>9780816402397</t>
  </si>
  <si>
    <t>32285000929637</t>
  </si>
  <si>
    <t>893509889</t>
  </si>
  <si>
    <t>BV4012 .C34 1965</t>
  </si>
  <si>
    <t>0                      BV 4012000C  34          1965</t>
  </si>
  <si>
    <t>Psychological aspects of spiritual development : proceedings of the Institutes of Catholic Pastoral Counseling and of the Conferences for Religious Superiors of Men under the auspices of the director of summer session and workshops, the Catholic University of America / Edited by Michael J. O'Brien and Raymond J. Steimel.</t>
  </si>
  <si>
    <t>Catholic University of America. Institute in Catholic Pastoral Counseling.</t>
  </si>
  <si>
    <t>Washington : Catholic University of America Press, [cover 1964, c1965]</t>
  </si>
  <si>
    <t>5467867:eng</t>
  </si>
  <si>
    <t>2650218</t>
  </si>
  <si>
    <t>991004200249702656</t>
  </si>
  <si>
    <t>2261268560002656</t>
  </si>
  <si>
    <t>32285000929645</t>
  </si>
  <si>
    <t>893788399</t>
  </si>
  <si>
    <t>BV4012 .G76</t>
  </si>
  <si>
    <t>0                      BV 4012000G  76</t>
  </si>
  <si>
    <t>God and Freud / by Leonard Gross.</t>
  </si>
  <si>
    <t>Gross, Leonard.</t>
  </si>
  <si>
    <t>New York, D. McKay C. [1959]</t>
  </si>
  <si>
    <t>2001-02-21</t>
  </si>
  <si>
    <t>1990-03-20</t>
  </si>
  <si>
    <t>2064699:eng</t>
  </si>
  <si>
    <t>1142530</t>
  </si>
  <si>
    <t>991003568389702656</t>
  </si>
  <si>
    <t>2264350980002656</t>
  </si>
  <si>
    <t>32285000087337</t>
  </si>
  <si>
    <t>893699134</t>
  </si>
  <si>
    <t>BV4012 .H57</t>
  </si>
  <si>
    <t>0                      BV 4012000H  57</t>
  </si>
  <si>
    <t>Pastoral counseling / by Seward Hiltner.</t>
  </si>
  <si>
    <t>Hiltner, Seward, 1909-1984.</t>
  </si>
  <si>
    <t>New York, Abingdon-Cokesbury Press [1949]</t>
  </si>
  <si>
    <t>1993-07-25</t>
  </si>
  <si>
    <t>149092748:eng</t>
  </si>
  <si>
    <t>31929455</t>
  </si>
  <si>
    <t>991002992949702656</t>
  </si>
  <si>
    <t>2255186640002656</t>
  </si>
  <si>
    <t>32285000879337</t>
  </si>
  <si>
    <t>893251889</t>
  </si>
  <si>
    <t>BV4012 .I58 1955</t>
  </si>
  <si>
    <t>0                      BV 4012000I  58          1955</t>
  </si>
  <si>
    <t>Personality and sexual problems in pastoral psychology / edited by William C. Bier.</t>
  </si>
  <si>
    <t>Institute of Pastoral Psychology (1st : 1955 : Fordham University)</t>
  </si>
  <si>
    <t>New York : Fordham University Press, [1964]</t>
  </si>
  <si>
    <t>Pastoral psychology series, no.1</t>
  </si>
  <si>
    <t>46787177:eng</t>
  </si>
  <si>
    <t>427172</t>
  </si>
  <si>
    <t>991002758399702656</t>
  </si>
  <si>
    <t>2265534790002656</t>
  </si>
  <si>
    <t>32285000929710</t>
  </si>
  <si>
    <t>893245593</t>
  </si>
  <si>
    <t>BV4012 .W4 1981</t>
  </si>
  <si>
    <t>0                      BV 4012000W  4           1981</t>
  </si>
  <si>
    <t>Redemptive intimacy : a new perspective for the journey to adult faith / Dick Westley.</t>
  </si>
  <si>
    <t>Westley, Dick.</t>
  </si>
  <si>
    <t>Mystic, Conn. : Twenty-third Publications, c1981.</t>
  </si>
  <si>
    <t>28885779:eng</t>
  </si>
  <si>
    <t>7628073</t>
  </si>
  <si>
    <t>991005090509702656</t>
  </si>
  <si>
    <t>2263065870002656</t>
  </si>
  <si>
    <t>9780896221239</t>
  </si>
  <si>
    <t>32285005316319</t>
  </si>
  <si>
    <t>893326138</t>
  </si>
  <si>
    <t>BV4012.2 .C28</t>
  </si>
  <si>
    <t>0                      BV 4012200C  28</t>
  </si>
  <si>
    <t>Care for the dying : resources of theology / edited with an introd. by Richard N. Soulen.</t>
  </si>
  <si>
    <t>Atlanta : John Knox Press, [1975]</t>
  </si>
  <si>
    <t>457666:eng</t>
  </si>
  <si>
    <t>1531556</t>
  </si>
  <si>
    <t>991003807279702656</t>
  </si>
  <si>
    <t>2271874800002656</t>
  </si>
  <si>
    <t>9780804210980</t>
  </si>
  <si>
    <t>32285000879329</t>
  </si>
  <si>
    <t>893806244</t>
  </si>
  <si>
    <t>BV4012.2 .C37 1948</t>
  </si>
  <si>
    <t>0                      BV 4012200C  37          1948</t>
  </si>
  <si>
    <t>The nature and treatment of scruples : a guide for directors of souls / by Dermot Casey.</t>
  </si>
  <si>
    <t>Casey, Dermot.</t>
  </si>
  <si>
    <t>Dublin : Clonmore and Reynolds, 1948.</t>
  </si>
  <si>
    <t>1948</t>
  </si>
  <si>
    <t xml:space="preserve">ie </t>
  </si>
  <si>
    <t>2009-01-23</t>
  </si>
  <si>
    <t>1652492:eng</t>
  </si>
  <si>
    <t>7393809</t>
  </si>
  <si>
    <t>991005109259702656</t>
  </si>
  <si>
    <t>2261336400002656</t>
  </si>
  <si>
    <t>32285000929801</t>
  </si>
  <si>
    <t>893533183</t>
  </si>
  <si>
    <t>BV4012.2 .C534</t>
  </si>
  <si>
    <t>0                      BV 4012200C  534</t>
  </si>
  <si>
    <t>Growth counseling : hope-centered methods of actualizing wholeness / Howard Clinebell.</t>
  </si>
  <si>
    <t>Clinebell, Howard, 1922-2005.</t>
  </si>
  <si>
    <t>Nashville : Abingdon, c1979.</t>
  </si>
  <si>
    <t>1995-11-30</t>
  </si>
  <si>
    <t>1991-12-12</t>
  </si>
  <si>
    <t>15077422:eng</t>
  </si>
  <si>
    <t>4883794</t>
  </si>
  <si>
    <t>991004741469702656</t>
  </si>
  <si>
    <t>2264023050002656</t>
  </si>
  <si>
    <t>9780687159741</t>
  </si>
  <si>
    <t>32285000887157</t>
  </si>
  <si>
    <t>893619044</t>
  </si>
  <si>
    <t>BV4012.2 .C542 2003</t>
  </si>
  <si>
    <t>0                      BV 4012200C  542         2003</t>
  </si>
  <si>
    <t>Clinical handbook of pastoral counseling / edited by Robert J. Wicks, Richard D. Parsons, Donald Capps.</t>
  </si>
  <si>
    <t>New York : Paulist Press, c2003.</t>
  </si>
  <si>
    <t>Integration books</t>
  </si>
  <si>
    <t>2007-10-30</t>
  </si>
  <si>
    <t>2003-11-18</t>
  </si>
  <si>
    <t>3858932535:eng</t>
  </si>
  <si>
    <t>49285495</t>
  </si>
  <si>
    <t>991004166819702656</t>
  </si>
  <si>
    <t>2256826770002656</t>
  </si>
  <si>
    <t>9780809140619</t>
  </si>
  <si>
    <t>32285004798756</t>
  </si>
  <si>
    <t>893618332</t>
  </si>
  <si>
    <t>BV4012.2 .H27</t>
  </si>
  <si>
    <t>0                      BV 4012200H  27</t>
  </si>
  <si>
    <t>Pastoral counseling with people in distress / [by] Harold I. Haas.</t>
  </si>
  <si>
    <t>Haas, Harold I.</t>
  </si>
  <si>
    <t>[St. Louis] Concordia Pub. House [c1970]</t>
  </si>
  <si>
    <t>1992-01-22</t>
  </si>
  <si>
    <t>1215474:eng</t>
  </si>
  <si>
    <t>46028</t>
  </si>
  <si>
    <t>991000105049702656</t>
  </si>
  <si>
    <t>2264199730002656</t>
  </si>
  <si>
    <t>32285000898352</t>
  </si>
  <si>
    <t>893419202</t>
  </si>
  <si>
    <t>BV4012.2 .L895 1999</t>
  </si>
  <si>
    <t>0                      BV 4012200L  895         1999</t>
  </si>
  <si>
    <t>A mature faith / Daniël J. Louw.</t>
  </si>
  <si>
    <t>Louw, Daniel J.</t>
  </si>
  <si>
    <t>Louvain : Peeters, c1999.</t>
  </si>
  <si>
    <t xml:space="preserve">be </t>
  </si>
  <si>
    <t>Louvain theological &amp; pastoral monographs ; 25</t>
  </si>
  <si>
    <t>2002-10-28</t>
  </si>
  <si>
    <t>27149553:eng</t>
  </si>
  <si>
    <t>41328227</t>
  </si>
  <si>
    <t>991003917619702656</t>
  </si>
  <si>
    <t>2272296100002656</t>
  </si>
  <si>
    <t>9789042906860</t>
  </si>
  <si>
    <t>32285004658430</t>
  </si>
  <si>
    <t>893718225</t>
  </si>
  <si>
    <t>BV4012.2 .M6</t>
  </si>
  <si>
    <t>0                      BV 4012200M  6</t>
  </si>
  <si>
    <t>Counseling: a modern emphasis in religion / Leslie E. Moser.</t>
  </si>
  <si>
    <t>Moser, Leslie E.</t>
  </si>
  <si>
    <t>Englewood Cliffs, N. J. : Prentice-Hall, 1962.</t>
  </si>
  <si>
    <t>2000-06-22</t>
  </si>
  <si>
    <t>1314505592:eng</t>
  </si>
  <si>
    <t>554379</t>
  </si>
  <si>
    <t>991002979969702656</t>
  </si>
  <si>
    <t>2256250850002656</t>
  </si>
  <si>
    <t>32285000929892</t>
  </si>
  <si>
    <t>893251866</t>
  </si>
  <si>
    <t>BV4012.2 .N34</t>
  </si>
  <si>
    <t>0                      BV 4012200N  34</t>
  </si>
  <si>
    <t>Pastoral counselling : reflections and concerns / by Samuel M. Natale, in collaboration with Richard J. Wolff.</t>
  </si>
  <si>
    <t>Natale, Samuel M.</t>
  </si>
  <si>
    <t>New York : Paulist Press, c1977.</t>
  </si>
  <si>
    <t>1998-09-29</t>
  </si>
  <si>
    <t>1992-02-14</t>
  </si>
  <si>
    <t>1089558989:eng</t>
  </si>
  <si>
    <t>2984453</t>
  </si>
  <si>
    <t>991004307529702656</t>
  </si>
  <si>
    <t>2258317670002656</t>
  </si>
  <si>
    <t>9780809120086</t>
  </si>
  <si>
    <t>32285000959410</t>
  </si>
  <si>
    <t>893706231</t>
  </si>
  <si>
    <t>BV4012.2 .P77 1993</t>
  </si>
  <si>
    <t>0                      BV 4012200P  77          1993</t>
  </si>
  <si>
    <t>Psychotherapy and religious values / edited by Everett L. Worthington, Jr.</t>
  </si>
  <si>
    <t>Grand Rapids, Mich. : Baker Book House, c1993.</t>
  </si>
  <si>
    <t>Psychology and Christianity ; 7</t>
  </si>
  <si>
    <t>2008-04-30</t>
  </si>
  <si>
    <t>2007-10-11</t>
  </si>
  <si>
    <t>29092465:eng</t>
  </si>
  <si>
    <t>25746606</t>
  </si>
  <si>
    <t>991005129389702656</t>
  </si>
  <si>
    <t>2269439690002656</t>
  </si>
  <si>
    <t>9780801097195</t>
  </si>
  <si>
    <t>32285005329700</t>
  </si>
  <si>
    <t>893876989</t>
  </si>
  <si>
    <t>BV4012.2 .T96 1982</t>
  </si>
  <si>
    <t>0                      BV 4012200T  96          1982</t>
  </si>
  <si>
    <t>Christotherapy II : the fasting and feasting heart / Bernard J. Tyrrell.</t>
  </si>
  <si>
    <t>Tyrrell, Bernard, 1933-</t>
  </si>
  <si>
    <t>Ramsey, N.J. : Paulist Press, c1982.</t>
  </si>
  <si>
    <t>1994-07-18</t>
  </si>
  <si>
    <t>1990-03-05</t>
  </si>
  <si>
    <t>3133594111:eng</t>
  </si>
  <si>
    <t>8811430</t>
  </si>
  <si>
    <t>991000077159702656</t>
  </si>
  <si>
    <t>2264955990002656</t>
  </si>
  <si>
    <t>9780809103324</t>
  </si>
  <si>
    <t>32285000076561</t>
  </si>
  <si>
    <t>893607595</t>
  </si>
  <si>
    <t>BV4012.2 .V38 1969</t>
  </si>
  <si>
    <t>0                      BV 4012200V  38          1969</t>
  </si>
  <si>
    <t>An introduction to religious counseling : a Christian humanistic approach / [by] Richard P. Vaughan.</t>
  </si>
  <si>
    <t>Vaughan, Richard P. (Richard Patrick), 1919-</t>
  </si>
  <si>
    <t>Englewood Cliffs, N.J. : Prentice-Hall, [1969]</t>
  </si>
  <si>
    <t>1998-03-28</t>
  </si>
  <si>
    <t>1088524877:eng</t>
  </si>
  <si>
    <t>16846</t>
  </si>
  <si>
    <t>991000017959702656</t>
  </si>
  <si>
    <t>2271590600002656</t>
  </si>
  <si>
    <t>9780134952833</t>
  </si>
  <si>
    <t>32285000929918</t>
  </si>
  <si>
    <t>893607546</t>
  </si>
  <si>
    <t>BV4012.2 .V383 1994</t>
  </si>
  <si>
    <t>0                      BV 4012200V  383         1994</t>
  </si>
  <si>
    <t>Pastoral counseling and personality disorders : a manual / Richard P. Vaughan.</t>
  </si>
  <si>
    <t>Kansas City, MO : Sheed &amp; Ward, c1994.</t>
  </si>
  <si>
    <t>2008-04-23</t>
  </si>
  <si>
    <t>1999-01-05</t>
  </si>
  <si>
    <t>1390614045:eng</t>
  </si>
  <si>
    <t>28848617</t>
  </si>
  <si>
    <t>991002237099702656</t>
  </si>
  <si>
    <t>2266829910002656</t>
  </si>
  <si>
    <t>9781556126604</t>
  </si>
  <si>
    <t>32285003508958</t>
  </si>
  <si>
    <t>893427374</t>
  </si>
  <si>
    <t>BV4012.2 .W4 1969</t>
  </si>
  <si>
    <t>0                      BV 4012200W  4           1969</t>
  </si>
  <si>
    <t>Contemporary pastoral counseling / Eugene J. Weitzel, participating editor.</t>
  </si>
  <si>
    <t>Weitzel, Eugene J.</t>
  </si>
  <si>
    <t>New York : Bruce Pub. Co., [1969]</t>
  </si>
  <si>
    <t>2006-10-03</t>
  </si>
  <si>
    <t>1139890:eng</t>
  </si>
  <si>
    <t>17329</t>
  </si>
  <si>
    <t>991000018329702656</t>
  </si>
  <si>
    <t>2270920580002656</t>
  </si>
  <si>
    <t>32285000820893</t>
  </si>
  <si>
    <t>893790176</t>
  </si>
  <si>
    <t>BV4016 .A78 1996</t>
  </si>
  <si>
    <t>0                      BV 4016000A  78          1996</t>
  </si>
  <si>
    <t>The arts of ministry : feminist-womanist approaches / Christie Cozad Neuger, editor.</t>
  </si>
  <si>
    <t>Louisville, Ky. : Westminster John Knox Press, c1996.</t>
  </si>
  <si>
    <t>799745736:eng</t>
  </si>
  <si>
    <t>33668264</t>
  </si>
  <si>
    <t>991004006679702656</t>
  </si>
  <si>
    <t>2256553290002656</t>
  </si>
  <si>
    <t>9780664255930</t>
  </si>
  <si>
    <t>32285004685987</t>
  </si>
  <si>
    <t>893593157</t>
  </si>
  <si>
    <t>BV402 .T613</t>
  </si>
  <si>
    <t>0                      BV 0402000T  613</t>
  </si>
  <si>
    <t>The person reborn / Paul Tournier. Translated by Edwin Hudson.</t>
  </si>
  <si>
    <t>Tournier, Paul.</t>
  </si>
  <si>
    <t>New York, Harper &amp; Row [c1966]</t>
  </si>
  <si>
    <t>1994-01-17</t>
  </si>
  <si>
    <t>343058275:eng</t>
  </si>
  <si>
    <t>18569549</t>
  </si>
  <si>
    <t>991003477709702656</t>
  </si>
  <si>
    <t>2272053720002656</t>
  </si>
  <si>
    <t>32285000902329</t>
  </si>
  <si>
    <t>893893749</t>
  </si>
  <si>
    <t>BV4020 .C374 1989</t>
  </si>
  <si>
    <t>0                      BV 4020000C  374         1989</t>
  </si>
  <si>
    <t>Instruction on the study of the Fathers of the Church in the formation of priests / Congregation for Catholic Education.</t>
  </si>
  <si>
    <t>Catholic Church. Congregatio pro Institutione Catholica.</t>
  </si>
  <si>
    <t>[Washington, D.C. : Office for Publishing and Promotion Services, United States Catholic Conference, 1989]</t>
  </si>
  <si>
    <t>Publication / Office for Publishing and Promotion Services, United States Catholic Conference ; no. 345-0</t>
  </si>
  <si>
    <t>2003-06-13</t>
  </si>
  <si>
    <t>23848262:eng</t>
  </si>
  <si>
    <t>21397812</t>
  </si>
  <si>
    <t>991001685479702656</t>
  </si>
  <si>
    <t>2265609560002656</t>
  </si>
  <si>
    <t>9781555863456</t>
  </si>
  <si>
    <t>32285000022367</t>
  </si>
  <si>
    <t>893250396</t>
  </si>
  <si>
    <t>BV4020 .K45 1992</t>
  </si>
  <si>
    <t>0                      BV 4020000K  45          1992</t>
  </si>
  <si>
    <t>To understand God truly : what's theological about a theological school / David H. Kelsey.</t>
  </si>
  <si>
    <t>Kelsey, David H.</t>
  </si>
  <si>
    <t>Louisville, Ky. : Westminster/John Knox Press, c1992.</t>
  </si>
  <si>
    <t>1994-05-17</t>
  </si>
  <si>
    <t>476259266:eng</t>
  </si>
  <si>
    <t>25316122</t>
  </si>
  <si>
    <t>991001992339702656</t>
  </si>
  <si>
    <t>2268266670002656</t>
  </si>
  <si>
    <t>9780664253974</t>
  </si>
  <si>
    <t>32285001896595</t>
  </si>
  <si>
    <t>893596909</t>
  </si>
  <si>
    <t>BV4020 .N5</t>
  </si>
  <si>
    <t>0                      BV 4020000N  5</t>
  </si>
  <si>
    <t>The purpose of the church and its ministry : reflections on the aims of theological education / by H. Richard Niebuhr. In collaboration with Daniel Day Williams and James M. Gustafson.</t>
  </si>
  <si>
    <t>Niebuhr, H. Richard (Helmut Richard), 1894-1962.</t>
  </si>
  <si>
    <t>New York, Harper [1956]</t>
  </si>
  <si>
    <t>2006-03-26</t>
  </si>
  <si>
    <t>1374438:eng</t>
  </si>
  <si>
    <t>312081</t>
  </si>
  <si>
    <t>991002287869702656</t>
  </si>
  <si>
    <t>2271062490002656</t>
  </si>
  <si>
    <t>32285000929959</t>
  </si>
  <si>
    <t>893257106</t>
  </si>
  <si>
    <t>BV4020 .W66 1985</t>
  </si>
  <si>
    <t>0                      BV 4020000W  66          1985</t>
  </si>
  <si>
    <t>Vision and discernment : an orientation in theological study / Charles M. Wood.</t>
  </si>
  <si>
    <t>Wood, Charles Monroe.</t>
  </si>
  <si>
    <t>Decatur, Ga. : Scholars Press, c1985.</t>
  </si>
  <si>
    <t>Scholars Press studies in religious and theological scholarship</t>
  </si>
  <si>
    <t>1991-09-05</t>
  </si>
  <si>
    <t>5028219:eng</t>
  </si>
  <si>
    <t>12419566</t>
  </si>
  <si>
    <t>991000683779702656</t>
  </si>
  <si>
    <t>2261906260002656</t>
  </si>
  <si>
    <t>9780891309239</t>
  </si>
  <si>
    <t>32285000737352</t>
  </si>
  <si>
    <t>893696061</t>
  </si>
  <si>
    <t>BV4030 .C48 1995</t>
  </si>
  <si>
    <t>0                      BV 4030000C  48          1995</t>
  </si>
  <si>
    <t>Christianity and civil society : theological education for public life / Rodney L. Petersen, editor.</t>
  </si>
  <si>
    <t>Maryknoll, N.Y. : Orbis Books ; Cambridge, Mass. : Boston Theological Institute, c1995.</t>
  </si>
  <si>
    <t>The Boston Theological Institute annual ; vol. 4</t>
  </si>
  <si>
    <t>2000-11-09</t>
  </si>
  <si>
    <t>1996-12-18</t>
  </si>
  <si>
    <t>891650927:eng</t>
  </si>
  <si>
    <t>31608922</t>
  </si>
  <si>
    <t>991002426809702656</t>
  </si>
  <si>
    <t>2266384650002656</t>
  </si>
  <si>
    <t>9781570750090</t>
  </si>
  <si>
    <t>32285002400132</t>
  </si>
  <si>
    <t>893879911</t>
  </si>
  <si>
    <t>BV4030 .H68 1985</t>
  </si>
  <si>
    <t>0                      BV 4030000H  68          1985</t>
  </si>
  <si>
    <t>Christian identity and theological education / Joseph C. Hough, Jr. and John B. Cobb, Jr.</t>
  </si>
  <si>
    <t>Hough, Joseph C.</t>
  </si>
  <si>
    <t>Chico, Calif. : Scholars Press, c1985.</t>
  </si>
  <si>
    <t>4855637:eng</t>
  </si>
  <si>
    <t>12107437</t>
  </si>
  <si>
    <t>991000642769702656</t>
  </si>
  <si>
    <t>2268318380002656</t>
  </si>
  <si>
    <t>9780891308553</t>
  </si>
  <si>
    <t>32285000965029</t>
  </si>
  <si>
    <t>893714768</t>
  </si>
  <si>
    <t>BV4030 .Y37 1987</t>
  </si>
  <si>
    <t>0                      BV 4030000Y  37          1987</t>
  </si>
  <si>
    <t>The arts in theological education : new possibilities for integration / Wilson Yates.</t>
  </si>
  <si>
    <t>Yates, Wilson.</t>
  </si>
  <si>
    <t>Atlanta, Ga. : Scholars Press, c1987.</t>
  </si>
  <si>
    <t>1998-06-26</t>
  </si>
  <si>
    <t>430867793:eng</t>
  </si>
  <si>
    <t>16227793</t>
  </si>
  <si>
    <t>991005408079702656</t>
  </si>
  <si>
    <t>2264774230002656</t>
  </si>
  <si>
    <t>9781555401603</t>
  </si>
  <si>
    <t>32285000135342</t>
  </si>
  <si>
    <t>893601163</t>
  </si>
  <si>
    <t>BV4070.C8 A54</t>
  </si>
  <si>
    <t>0                      BV 4070000C  8                  A  54</t>
  </si>
  <si>
    <t>Exodus from Concordia : a report on the 1974 walkout / by the Board of Control, Concordia Seminary, St. Louis, Missouri.</t>
  </si>
  <si>
    <t>Concordia Seminary (Saint Louis, Mo.). Board of Control.</t>
  </si>
  <si>
    <t>St. Louis : The Board, c1977.</t>
  </si>
  <si>
    <t>1994-11-16</t>
  </si>
  <si>
    <t>9169836:eng</t>
  </si>
  <si>
    <t>3271741</t>
  </si>
  <si>
    <t>991004392339702656</t>
  </si>
  <si>
    <t>2264102270002656</t>
  </si>
  <si>
    <t>32285000965045</t>
  </si>
  <si>
    <t>893624671</t>
  </si>
  <si>
    <t>BV4099 .C53 1977</t>
  </si>
  <si>
    <t>0                      BV 4099000C  53          1977</t>
  </si>
  <si>
    <t>Six books on the priesthood / Saint John Chrysostom ; translated with an introd. by Graham Neville.</t>
  </si>
  <si>
    <t>John Chrysostom, Saint, -407.</t>
  </si>
  <si>
    <t>Crestwood, New York : St. Vladimir's Seminary Press, 1977, c1964.</t>
  </si>
  <si>
    <t>2001-11-01</t>
  </si>
  <si>
    <t>2643359971:eng</t>
  </si>
  <si>
    <t>3855566</t>
  </si>
  <si>
    <t>991004532449702656</t>
  </si>
  <si>
    <t>2268604070002656</t>
  </si>
  <si>
    <t>9780913836385</t>
  </si>
  <si>
    <t>32285000965078</t>
  </si>
  <si>
    <t>893888833</t>
  </si>
  <si>
    <t>BV4205 .I5 1902</t>
  </si>
  <si>
    <t>0                      BV 4205000I  5           1902</t>
  </si>
  <si>
    <t>Instructions on preaching, catechising and clerical life / by saints and fathers of the Church. Translated by Patrick Boyle.</t>
  </si>
  <si>
    <t>Dublin : M.H. Gill, 1902.</t>
  </si>
  <si>
    <t>1902</t>
  </si>
  <si>
    <t>1993-11-19</t>
  </si>
  <si>
    <t>771468318:eng</t>
  </si>
  <si>
    <t>977148240</t>
  </si>
  <si>
    <t>991005084979702656</t>
  </si>
  <si>
    <t>2257441730002656</t>
  </si>
  <si>
    <t>32285000965086</t>
  </si>
  <si>
    <t>893789411</t>
  </si>
  <si>
    <t>BV4207 .P65 1989</t>
  </si>
  <si>
    <t>0                      BV 4207000P  65          1989</t>
  </si>
  <si>
    <t>Preaching in the patristic age : studies in honor of Walter J. Burghardt, S.J. / David G. Hunter editor.</t>
  </si>
  <si>
    <t>2003-10-18</t>
  </si>
  <si>
    <t>1872062211:eng</t>
  </si>
  <si>
    <t>19553621</t>
  </si>
  <si>
    <t>991001471589702656</t>
  </si>
  <si>
    <t>2272136700002656</t>
  </si>
  <si>
    <t>9780809130795</t>
  </si>
  <si>
    <t>32285000965136</t>
  </si>
  <si>
    <t>893715473</t>
  </si>
  <si>
    <t>BV4208.F8 D38 1985</t>
  </si>
  <si>
    <t>0                      BV 4208000F  8                  D  38          1985</t>
  </si>
  <si>
    <t>The preaching of the friars : sermons diffused from Paris before 1300 / by D.L. D'Avray.</t>
  </si>
  <si>
    <t>D'Avray, D. L.</t>
  </si>
  <si>
    <t>Oxford : Clarendon Press ; New York : Oxford University Press, 1985.</t>
  </si>
  <si>
    <t>1999-07-22</t>
  </si>
  <si>
    <t>836673828:eng</t>
  </si>
  <si>
    <t>12669295</t>
  </si>
  <si>
    <t>991000722939702656</t>
  </si>
  <si>
    <t>2268422880002656</t>
  </si>
  <si>
    <t>9780198227724</t>
  </si>
  <si>
    <t>32285001074599</t>
  </si>
  <si>
    <t>893509043</t>
  </si>
  <si>
    <t>BV4208.G7 G37</t>
  </si>
  <si>
    <t>0                      BV 4208000G  7                  G  37</t>
  </si>
  <si>
    <t>Preaching and theology in Anglo-Saxon England : Aelfric and Wulfstan / Milton McC. Gatch.</t>
  </si>
  <si>
    <t>Gatch, Milton McC. (Milton McCormick)</t>
  </si>
  <si>
    <t>Toronto ; Buffalo : University of Toronto Press, c1977.</t>
  </si>
  <si>
    <t>1992-02-21</t>
  </si>
  <si>
    <t>6496156:eng</t>
  </si>
  <si>
    <t>2837490</t>
  </si>
  <si>
    <t>991004259819702656</t>
  </si>
  <si>
    <t>2262142110002656</t>
  </si>
  <si>
    <t>9780802053473</t>
  </si>
  <si>
    <t>32285000965169</t>
  </si>
  <si>
    <t>893343626</t>
  </si>
  <si>
    <t>BV4208.G7 M6 1966</t>
  </si>
  <si>
    <t>0                      BV 4208000G  7                  M  6           1966</t>
  </si>
  <si>
    <t>The exemplum in the early religious and didactic literature of England / by Joseph Albert Mosher.</t>
  </si>
  <si>
    <t>Mosher, Joseph A. (Joseph Albert), 1880-</t>
  </si>
  <si>
    <t>New York, AMS Press, 1966 [c1911]</t>
  </si>
  <si>
    <t>2000-11-08</t>
  </si>
  <si>
    <t>1506202:eng</t>
  </si>
  <si>
    <t>385098</t>
  </si>
  <si>
    <t>991002643719702656</t>
  </si>
  <si>
    <t>2258973200002656</t>
  </si>
  <si>
    <t>32285000965201</t>
  </si>
  <si>
    <t>893511010</t>
  </si>
  <si>
    <t>BV4208.G7 S64 1993</t>
  </si>
  <si>
    <t>0                      BV 4208000G  7                  S  64          1993</t>
  </si>
  <si>
    <t>English preaching in the late Middle Ages / H. Leith Spencer.</t>
  </si>
  <si>
    <t>Spencer, H. Leith.</t>
  </si>
  <si>
    <t>Oxford [England] : Clarendon Press ; Oxford ; New York : Oxford University Press, 1993.</t>
  </si>
  <si>
    <t>1995-07-17</t>
  </si>
  <si>
    <t>328204:eng</t>
  </si>
  <si>
    <t>27034364</t>
  </si>
  <si>
    <t>991002107909702656</t>
  </si>
  <si>
    <t>2267336510002656</t>
  </si>
  <si>
    <t>9780198112037</t>
  </si>
  <si>
    <t>32285001896835</t>
  </si>
  <si>
    <t>893898394</t>
  </si>
  <si>
    <t>BV4208.U6 H57 1980</t>
  </si>
  <si>
    <t>0                      BV 4208000U  6                  H  57          1980</t>
  </si>
  <si>
    <t>The preaching tradition : a brief history / DeWitte T. Holland.</t>
  </si>
  <si>
    <t>Holland, DeWitte Talmadge, 1923-2003.</t>
  </si>
  <si>
    <t>Nashville : Abingdon, c1980.</t>
  </si>
  <si>
    <t>Abingdon preacher's library</t>
  </si>
  <si>
    <t>2006-11-13</t>
  </si>
  <si>
    <t>1090317119:eng</t>
  </si>
  <si>
    <t>6305005</t>
  </si>
  <si>
    <t>991004960919702656</t>
  </si>
  <si>
    <t>2259016610002656</t>
  </si>
  <si>
    <t>9780687338757</t>
  </si>
  <si>
    <t>32285001795573</t>
  </si>
  <si>
    <t>893242026</t>
  </si>
  <si>
    <t>BV4211.2 .A27</t>
  </si>
  <si>
    <t>0                      BV 4211200A  27</t>
  </si>
  <si>
    <t>Creative preaching : finding the words / Elizabeth Achtemeier.</t>
  </si>
  <si>
    <t>Achtemeier, Elizabeth, 1926-2002.</t>
  </si>
  <si>
    <t>Nashville : Abingdon, c1980, 1981 printing.</t>
  </si>
  <si>
    <t>1996-02-09</t>
  </si>
  <si>
    <t>865296536:eng</t>
  </si>
  <si>
    <t>6357447</t>
  </si>
  <si>
    <t>991004970539702656</t>
  </si>
  <si>
    <t>2256113780002656</t>
  </si>
  <si>
    <t>9780687098316</t>
  </si>
  <si>
    <t>32285000965318</t>
  </si>
  <si>
    <t>893776643</t>
  </si>
  <si>
    <t>BV4211.2 .B78 1977</t>
  </si>
  <si>
    <t>0                      BV 4211200B  78          1977</t>
  </si>
  <si>
    <t>Telling the truth : the Gospel as tragedy, comedy, and fairy tale / Frederick Buechner.</t>
  </si>
  <si>
    <t>Buechner, Frederick, 1926-</t>
  </si>
  <si>
    <t>San Francisco : Harper &amp; Row, c1977.</t>
  </si>
  <si>
    <t>2007-07-08</t>
  </si>
  <si>
    <t>2004-03-17</t>
  </si>
  <si>
    <t>907938944:eng</t>
  </si>
  <si>
    <t>3204501</t>
  </si>
  <si>
    <t>991004263969702656</t>
  </si>
  <si>
    <t>2269445870002656</t>
  </si>
  <si>
    <t>9780060611569</t>
  </si>
  <si>
    <t>32285004895008</t>
  </si>
  <si>
    <t>893875884</t>
  </si>
  <si>
    <t>BV4211.2 .B86 1988</t>
  </si>
  <si>
    <t>0                      BV 4211200B  86          1988</t>
  </si>
  <si>
    <t>Homiletic : moves and structures / David Buttrick.</t>
  </si>
  <si>
    <t>Buttrick, David, 1927-</t>
  </si>
  <si>
    <t>Philadelphia : Fortress Press, 1988, c1987.</t>
  </si>
  <si>
    <t>292450555:eng</t>
  </si>
  <si>
    <t>17849370</t>
  </si>
  <si>
    <t>991004528769702656</t>
  </si>
  <si>
    <t>2263585480002656</t>
  </si>
  <si>
    <t>9780800620967</t>
  </si>
  <si>
    <t>32285005030746</t>
  </si>
  <si>
    <t>893241544</t>
  </si>
  <si>
    <t>BV4211.2 .C26 1997</t>
  </si>
  <si>
    <t>0                      BV 4211200C  26          1997</t>
  </si>
  <si>
    <t>Preaching Jesus : new directions for homiletics in Hans Frei's postliberal theology / Charles L. Campbell.</t>
  </si>
  <si>
    <t>Campbell, Charles L., 1954-</t>
  </si>
  <si>
    <t>Grand Rapids, Mich. : W.B. Eerdmans Pub., 1997.</t>
  </si>
  <si>
    <t>2004-06-07</t>
  </si>
  <si>
    <t>1997-10-20</t>
  </si>
  <si>
    <t>5921071:eng</t>
  </si>
  <si>
    <t>36135886</t>
  </si>
  <si>
    <t>991002755089702656</t>
  </si>
  <si>
    <t>2263499620002656</t>
  </si>
  <si>
    <t>9780802841568</t>
  </si>
  <si>
    <t>32285003256459</t>
  </si>
  <si>
    <t>893792870</t>
  </si>
  <si>
    <t>BV4211.2 .C47 1970</t>
  </si>
  <si>
    <t>0                      BV 4211200C  47          1970</t>
  </si>
  <si>
    <t>The theology of the word of God / by Aloysius Church.</t>
  </si>
  <si>
    <t>Church, Aloysius.</t>
  </si>
  <si>
    <t>Notre Dame, Ind. : Fides Publishers, [c1970]</t>
  </si>
  <si>
    <t>Theology today ; no. 12</t>
  </si>
  <si>
    <t>1260601:eng</t>
  </si>
  <si>
    <t>129261</t>
  </si>
  <si>
    <t>991000740539702656</t>
  </si>
  <si>
    <t>2266629550002656</t>
  </si>
  <si>
    <t>9780853422303</t>
  </si>
  <si>
    <t>32285000965359</t>
  </si>
  <si>
    <t>893496514</t>
  </si>
  <si>
    <t>BV4211.2 .F55 1986</t>
  </si>
  <si>
    <t>0                      BV 4211200F  55          1986</t>
  </si>
  <si>
    <t>Wake up and preach! / James F. Finley.</t>
  </si>
  <si>
    <t>New York : Alba House, c1986.</t>
  </si>
  <si>
    <t>2002-06-22</t>
  </si>
  <si>
    <t>5337177:eng</t>
  </si>
  <si>
    <t>12750671</t>
  </si>
  <si>
    <t>991000733189702656</t>
  </si>
  <si>
    <t>2270711010002656</t>
  </si>
  <si>
    <t>9780818904929</t>
  </si>
  <si>
    <t>32285000965409</t>
  </si>
  <si>
    <t>893696110</t>
  </si>
  <si>
    <t>BV4211.2 .F84</t>
  </si>
  <si>
    <t>0                      BV 4211200F  84</t>
  </si>
  <si>
    <t>Fulfilled in your hearing : the homily in the Sunday assembly / the Bishops' Committee on Priestly Life and Ministry, National Conference of Catholic Bishops.</t>
  </si>
  <si>
    <t>Washington, D.C. : Office of Publishing Services, United States Catholic Conference, [1982]</t>
  </si>
  <si>
    <t>Publication ; no. 850</t>
  </si>
  <si>
    <t>1999-06-19</t>
  </si>
  <si>
    <t>865303223:eng</t>
  </si>
  <si>
    <t>8904548</t>
  </si>
  <si>
    <t>991000091569702656</t>
  </si>
  <si>
    <t>2266424500002656</t>
  </si>
  <si>
    <t>32285000965425</t>
  </si>
  <si>
    <t>893437997</t>
  </si>
  <si>
    <t>BV4211.2 .G7 1965</t>
  </si>
  <si>
    <t>0                      BV 4211200G  7           1965</t>
  </si>
  <si>
    <t>Proclaiming God's message : a study in the theology of preaching.</t>
  </si>
  <si>
    <t>Grasso, Domenico, 1917-</t>
  </si>
  <si>
    <t>Notre Dame, Ind. : University of Notre Dame Press, [c.1965]</t>
  </si>
  <si>
    <t>Liturgical Studies (Univ. of Notre Dame), VIII</t>
  </si>
  <si>
    <t>2004-06-29</t>
  </si>
  <si>
    <t>1703352:eng</t>
  </si>
  <si>
    <t>721153</t>
  </si>
  <si>
    <t>991003195739702656</t>
  </si>
  <si>
    <t>2258999080002656</t>
  </si>
  <si>
    <t>32285000965441</t>
  </si>
  <si>
    <t>893246110</t>
  </si>
  <si>
    <t>BV4211.2 .M494 1992</t>
  </si>
  <si>
    <t>0                      BV 4211200M  494         1992</t>
  </si>
  <si>
    <t>Ordained to preach : a theology and practice of preaching / Charles E. Miller.</t>
  </si>
  <si>
    <t>Miller, Charles Edward, 1929-2005.</t>
  </si>
  <si>
    <t>New York : Alba House, c1992.</t>
  </si>
  <si>
    <t>17725675:eng</t>
  </si>
  <si>
    <t>25832249</t>
  </si>
  <si>
    <t>991004529009702656</t>
  </si>
  <si>
    <t>2264123700002656</t>
  </si>
  <si>
    <t>9780818906374</t>
  </si>
  <si>
    <t>32285005030266</t>
  </si>
  <si>
    <t>893331706</t>
  </si>
  <si>
    <t>BV4214 .T473</t>
  </si>
  <si>
    <t>0                      BV 4214000T  473</t>
  </si>
  <si>
    <t>The trouble with the church : a call for renewal / Helmut Thielicke. Translated and edited by John W. Doberstein.</t>
  </si>
  <si>
    <t>Thielicke, Helmut, 1908-1986.</t>
  </si>
  <si>
    <t>New York, Harper &amp; Row [1965]</t>
  </si>
  <si>
    <t>2001-07-02</t>
  </si>
  <si>
    <t>459712381:eng</t>
  </si>
  <si>
    <t>1404282</t>
  </si>
  <si>
    <t>991003740799702656</t>
  </si>
  <si>
    <t>2260019530002656</t>
  </si>
  <si>
    <t>32285000965540</t>
  </si>
  <si>
    <t>893775095</t>
  </si>
  <si>
    <t>BV4224 .W44 1973</t>
  </si>
  <si>
    <t>0                      BV 4224000W  44          1973</t>
  </si>
  <si>
    <t>L'exemplum dans la littérature religieuse et didactique du Moyen âge / par J.-Th. Welter. Paris, Occitania, 1927.</t>
  </si>
  <si>
    <t>Welter, Jean Thiébaut, 1877-</t>
  </si>
  <si>
    <t>[New York, AMS Press, 1973]</t>
  </si>
  <si>
    <t>2010-10-27</t>
  </si>
  <si>
    <t>351012638:fre</t>
  </si>
  <si>
    <t>702750</t>
  </si>
  <si>
    <t>991003164369702656</t>
  </si>
  <si>
    <t>2258162880002656</t>
  </si>
  <si>
    <t>9780404566883</t>
  </si>
  <si>
    <t>32285000965573</t>
  </si>
  <si>
    <t>893868153</t>
  </si>
  <si>
    <t>BV4235.F44 S63 1989</t>
  </si>
  <si>
    <t>0                      BV 4235000F  44                 S  63          1989</t>
  </si>
  <si>
    <t>Weaving the sermon : preaching in a feminist perspective / Christine M. Smith.</t>
  </si>
  <si>
    <t>Smith, Christine M.</t>
  </si>
  <si>
    <t>Louisville, Ky. : Westminster/J. Knox Press, c1989.</t>
  </si>
  <si>
    <t>796359017:eng</t>
  </si>
  <si>
    <t>18589061</t>
  </si>
  <si>
    <t>991001373109702656</t>
  </si>
  <si>
    <t>2264380240002656</t>
  </si>
  <si>
    <t>9780664250317</t>
  </si>
  <si>
    <t>32285000029529</t>
  </si>
  <si>
    <t>893334292</t>
  </si>
  <si>
    <t>BV4235.L3 P73 1983</t>
  </si>
  <si>
    <t>0                      BV 4235000L  3                  P  73          1983</t>
  </si>
  <si>
    <t>Preaching and the non-ordained : an interdisciplinary study / edited by Nadine Foley.</t>
  </si>
  <si>
    <t>Collegeville, Minn. : Liturgical Press, c1983.</t>
  </si>
  <si>
    <t>1990-08-01</t>
  </si>
  <si>
    <t>366907473:eng</t>
  </si>
  <si>
    <t>9411904</t>
  </si>
  <si>
    <t>991000189679702656</t>
  </si>
  <si>
    <t>2261152210002656</t>
  </si>
  <si>
    <t>9780814612910</t>
  </si>
  <si>
    <t>32285000262039</t>
  </si>
  <si>
    <t>893333286</t>
  </si>
  <si>
    <t>BV4241 .L38 1996</t>
  </si>
  <si>
    <t>0                      BV 4241000L  38          1996</t>
  </si>
  <si>
    <t>Women preaching revolution : calling for connection in a disconnected time / Elaine J. Lawless.</t>
  </si>
  <si>
    <t>Lawless, Elaine J.</t>
  </si>
  <si>
    <t>Philadelphia, Pa. : University of Pennsylvania Press, c1996.</t>
  </si>
  <si>
    <t>2000-02-18</t>
  </si>
  <si>
    <t>1010548:eng</t>
  </si>
  <si>
    <t>35084557</t>
  </si>
  <si>
    <t>991005424399702656</t>
  </si>
  <si>
    <t>2255407260002656</t>
  </si>
  <si>
    <t>9780812231984</t>
  </si>
  <si>
    <t>32285003618138</t>
  </si>
  <si>
    <t>893431488</t>
  </si>
  <si>
    <t>BV4253 .B47 1985</t>
  </si>
  <si>
    <t>0                      BV 4253000B  47          1985</t>
  </si>
  <si>
    <t>St. Bernard's sermons on the Nativity / translated from the original Latin by a priest of Mount Melleray.</t>
  </si>
  <si>
    <t>Bernard, of Clairvaux, Saint, 1090 or 1091-1153.</t>
  </si>
  <si>
    <t>Devon : Augustine, 1985.</t>
  </si>
  <si>
    <t>1998-01-14</t>
  </si>
  <si>
    <t>3899009385:eng</t>
  </si>
  <si>
    <t>13424118</t>
  </si>
  <si>
    <t>991000827319702656</t>
  </si>
  <si>
    <t>2265614700002656</t>
  </si>
  <si>
    <t>9780851727400</t>
  </si>
  <si>
    <t>32285000965649</t>
  </si>
  <si>
    <t>893797022</t>
  </si>
  <si>
    <t>BV4253 .L55 1986</t>
  </si>
  <si>
    <t>0                      BV 4253000L  55          1986</t>
  </si>
  <si>
    <t>The miracle of grace, and other messages / D. Martyn Lloyd-Jones.</t>
  </si>
  <si>
    <t>Lloyd-Jones, David Martyn.</t>
  </si>
  <si>
    <t>Grand Rapids, Mich. : Baker Book House, c1986.</t>
  </si>
  <si>
    <t>2006-11-08</t>
  </si>
  <si>
    <t>16026537:eng</t>
  </si>
  <si>
    <t>14360977</t>
  </si>
  <si>
    <t>991004920149702656</t>
  </si>
  <si>
    <t>2262227600002656</t>
  </si>
  <si>
    <t>9780801056369</t>
  </si>
  <si>
    <t>32285005223762</t>
  </si>
  <si>
    <t>893344402</t>
  </si>
  <si>
    <t>BV4253 .T58</t>
  </si>
  <si>
    <t>0                      BV 4253000T  58</t>
  </si>
  <si>
    <t>The new being / by Paul Tillich.</t>
  </si>
  <si>
    <t>Tillich, Paul, 1886-1965.</t>
  </si>
  <si>
    <t>New York, Scribner, 1955.</t>
  </si>
  <si>
    <t>2000-06-07</t>
  </si>
  <si>
    <t>433941:eng</t>
  </si>
  <si>
    <t>355702</t>
  </si>
  <si>
    <t>991002460199702656</t>
  </si>
  <si>
    <t>2264701130002656</t>
  </si>
  <si>
    <t>32285000965664</t>
  </si>
  <si>
    <t>893329107</t>
  </si>
  <si>
    <t>BV4253 .T6</t>
  </si>
  <si>
    <t>0                      BV 4253000T  6</t>
  </si>
  <si>
    <t>The shaking of the foundations : [sermons] / by Paul Tillich.</t>
  </si>
  <si>
    <t>New York, C. Scribner's Sons, 1948.</t>
  </si>
  <si>
    <t>2009-10-28</t>
  </si>
  <si>
    <t>577220:eng</t>
  </si>
  <si>
    <t>266150</t>
  </si>
  <si>
    <t>991002099229702656</t>
  </si>
  <si>
    <t>2269575700002656</t>
  </si>
  <si>
    <t>32285000965672</t>
  </si>
  <si>
    <t>893684955</t>
  </si>
  <si>
    <t>BV4254.2 .W55 1995</t>
  </si>
  <si>
    <t>0                      BV 4254200W  55          1995</t>
  </si>
  <si>
    <t>A ray of darkness : sermons and reflections / Rowan Williams.</t>
  </si>
  <si>
    <t>Williams, Rowan, 1950-</t>
  </si>
  <si>
    <t>Cambridge, Mass. : Cowley Publications, c1995.</t>
  </si>
  <si>
    <t>2002-10-18</t>
  </si>
  <si>
    <t>1998-12-09</t>
  </si>
  <si>
    <t>476676443:eng</t>
  </si>
  <si>
    <t>32051627</t>
  </si>
  <si>
    <t>991002460109702656</t>
  </si>
  <si>
    <t>2270171150002656</t>
  </si>
  <si>
    <t>9781561011124</t>
  </si>
  <si>
    <t>32285003505210</t>
  </si>
  <si>
    <t>893603625</t>
  </si>
  <si>
    <t>BV4257 .P313 1964</t>
  </si>
  <si>
    <t>0                      BV 4257000P  313         1964</t>
  </si>
  <si>
    <t>Homilies on Christmas and Epiphany / by Giovanni Battista Cardinal Montini. [Translated by Michael Campo]</t>
  </si>
  <si>
    <t>Paul VI, Pope, 1897-1978.</t>
  </si>
  <si>
    <t>Baltimore : Helicon, [1964]</t>
  </si>
  <si>
    <t>434784096:eng</t>
  </si>
  <si>
    <t>693105</t>
  </si>
  <si>
    <t>991003153899702656</t>
  </si>
  <si>
    <t>2266446010002656</t>
  </si>
  <si>
    <t>32285000965680</t>
  </si>
  <si>
    <t>893805483</t>
  </si>
  <si>
    <t>BV4278 .K58 1957</t>
  </si>
  <si>
    <t>0                      BV 4278000K  58          1957</t>
  </si>
  <si>
    <t>Bridegroom and bride / by Ronald Knox.</t>
  </si>
  <si>
    <t>Knox, Ronald Arbuthnott, 1888-1957.</t>
  </si>
  <si>
    <t>New York : Sheed &amp; Ward, [1957]</t>
  </si>
  <si>
    <t>2001-09-24</t>
  </si>
  <si>
    <t>2239227:eng</t>
  </si>
  <si>
    <t>1344892</t>
  </si>
  <si>
    <t>991003706899702656</t>
  </si>
  <si>
    <t>2260062620002656</t>
  </si>
  <si>
    <t>32285000965714</t>
  </si>
  <si>
    <t>893693055</t>
  </si>
  <si>
    <t>BV4278 .R6313 1977</t>
  </si>
  <si>
    <t>0                      BV 4278000R  6313        1977</t>
  </si>
  <si>
    <t>Homilies for the celebration of marriage / by A. M. Roguet ; translated by Jerome J. DuCharme.</t>
  </si>
  <si>
    <t>Roguet, A.-M. (Aymon-Marie), 1906-1991.</t>
  </si>
  <si>
    <t>Chicago : Franciscan Herald Press, c1977.</t>
  </si>
  <si>
    <t>2005-10-21</t>
  </si>
  <si>
    <t>2927443009:eng</t>
  </si>
  <si>
    <t>2595509</t>
  </si>
  <si>
    <t>991004175189702656</t>
  </si>
  <si>
    <t>2266494600002656</t>
  </si>
  <si>
    <t>9780819906564</t>
  </si>
  <si>
    <t>32285000491489</t>
  </si>
  <si>
    <t>893411211</t>
  </si>
  <si>
    <t>BV43 .B8</t>
  </si>
  <si>
    <t>0                      BV 0043000B  8</t>
  </si>
  <si>
    <t>The movable feasts, fasts, and other annual observances of the Catholic Church / by the Rev. Alban Butler. To which is added, A continuation of the feasts and fasts by A Catholic priest.</t>
  </si>
  <si>
    <t>Butler, Alban, 1711-1773.</t>
  </si>
  <si>
    <t>New York : P.J. Kenedy, [n.d.]</t>
  </si>
  <si>
    <t>2006-09-25</t>
  </si>
  <si>
    <t>4747585:eng</t>
  </si>
  <si>
    <t>31472539</t>
  </si>
  <si>
    <t>991000869339702656</t>
  </si>
  <si>
    <t>2266712840002656</t>
  </si>
  <si>
    <t>32285000835073</t>
  </si>
  <si>
    <t>893413758</t>
  </si>
  <si>
    <t>BV4319 .C37 1992</t>
  </si>
  <si>
    <t>0                      BV 4319000C  37          1992</t>
  </si>
  <si>
    <t>A new era = Aetatis novae : pastoral instruction on social communications on the twentieth anniversary of Communio et progressio / Pontifical Council for Social Communications. Also included: Communio et progressio and Inter mirifica.</t>
  </si>
  <si>
    <t>Catholic Church. Pontificium Consilium de Communicationibus Socialibus.</t>
  </si>
  <si>
    <t>Vatican City : Libreria Editrice Vaticana ; [Washington, D.C. : United States Catholic Conference], c1992.</t>
  </si>
  <si>
    <t>Publication / Office for Publishing and Promotion Services, United States Catholic Conference ; no. 504-6</t>
  </si>
  <si>
    <t>1993-04-07</t>
  </si>
  <si>
    <t>1992-09-09</t>
  </si>
  <si>
    <t>5611855146:eng</t>
  </si>
  <si>
    <t>26366737</t>
  </si>
  <si>
    <t>991002060899702656</t>
  </si>
  <si>
    <t>2262768750002656</t>
  </si>
  <si>
    <t>32285001284693</t>
  </si>
  <si>
    <t>893322509</t>
  </si>
  <si>
    <t>BV4319 .C38 2004</t>
  </si>
  <si>
    <t>0                      BV 4319000C  38          2004</t>
  </si>
  <si>
    <t>The permission to publish : a resource for diocesan and eparchial bishops on the approvals needed to publish various kinds of written works / Committee on Doctrine, United States Conference of Catholic Bishops.</t>
  </si>
  <si>
    <t>Catholic Church. United States Conference of Catholic Bishops. Committee on Doctrine.</t>
  </si>
  <si>
    <t>Washington, DC : United States Conference of Catholic Bishops, 2004.</t>
  </si>
  <si>
    <t>Publication ; no. 5-622</t>
  </si>
  <si>
    <t>2004-09-22</t>
  </si>
  <si>
    <t>16654882:eng</t>
  </si>
  <si>
    <t>56140579</t>
  </si>
  <si>
    <t>991004381349702656</t>
  </si>
  <si>
    <t>2268852380002656</t>
  </si>
  <si>
    <t>9781574556223</t>
  </si>
  <si>
    <t>32285004982517</t>
  </si>
  <si>
    <t>893882411</t>
  </si>
  <si>
    <t>BV4319 .C538 1993</t>
  </si>
  <si>
    <t>0                      BV 4319000C  538         1993</t>
  </si>
  <si>
    <t>Communication and Lonergan : common ground for forging the New Age / edited by Thomas J. Farrell and Paul A. Soukup.</t>
  </si>
  <si>
    <t>Kansas City, MO : Sheed &amp; Ward, c1993.</t>
  </si>
  <si>
    <t>Communication, culture &amp; theology</t>
  </si>
  <si>
    <t>2008-06-11</t>
  </si>
  <si>
    <t>1994-08-22</t>
  </si>
  <si>
    <t>31104228:eng</t>
  </si>
  <si>
    <t>28965321</t>
  </si>
  <si>
    <t>991002246179702656</t>
  </si>
  <si>
    <t>2256680920002656</t>
  </si>
  <si>
    <t>9781556126239</t>
  </si>
  <si>
    <t>32285001943637</t>
  </si>
  <si>
    <t>893250986</t>
  </si>
  <si>
    <t>BV4319 .F47 1986</t>
  </si>
  <si>
    <t>0                      BV 4319000F  47          1986</t>
  </si>
  <si>
    <t>Words made flesh : scripture, psychology &amp; human communication / Fran Ferder.</t>
  </si>
  <si>
    <t>Notre Dame, Ind. : Ave Maria Press, c1986.</t>
  </si>
  <si>
    <t>2008-12-02</t>
  </si>
  <si>
    <t>5721455:eng</t>
  </si>
  <si>
    <t>13127399</t>
  </si>
  <si>
    <t>991005279069702656</t>
  </si>
  <si>
    <t>2256354860002656</t>
  </si>
  <si>
    <t>9780877933304</t>
  </si>
  <si>
    <t>32285005461495</t>
  </si>
  <si>
    <t>893501627</t>
  </si>
  <si>
    <t>BV4319 .F55 1985</t>
  </si>
  <si>
    <t>0                      BV 4319000F  55          1985</t>
  </si>
  <si>
    <t>Social context and proclamation : a socio-cognitive study in proclaiming the Gospel cross-culturally / David Filbeck.</t>
  </si>
  <si>
    <t>Filbeck, David.</t>
  </si>
  <si>
    <t>Pasadena, Calif. : W. Carey Library, c1985.</t>
  </si>
  <si>
    <t>1995-05-10</t>
  </si>
  <si>
    <t>373987803:eng</t>
  </si>
  <si>
    <t>11532541</t>
  </si>
  <si>
    <t>991000549789702656</t>
  </si>
  <si>
    <t>2261285560002656</t>
  </si>
  <si>
    <t>9780878081998</t>
  </si>
  <si>
    <t>32285000837673</t>
  </si>
  <si>
    <t>893528148</t>
  </si>
  <si>
    <t>BV4330 .D4</t>
  </si>
  <si>
    <t>0                      BV 4330000D  4</t>
  </si>
  <si>
    <t>Death and ministry : pastoral care of the dying and the bereaved / J. Donald Bane ... [et al.] editors.</t>
  </si>
  <si>
    <t>New York : Seabury Press, [1975]</t>
  </si>
  <si>
    <t>1994-12-28</t>
  </si>
  <si>
    <t>2269142:eng</t>
  </si>
  <si>
    <t>1364006</t>
  </si>
  <si>
    <t>991003718359702656</t>
  </si>
  <si>
    <t>2255592790002656</t>
  </si>
  <si>
    <t>9780816402601</t>
  </si>
  <si>
    <t>32285000965789</t>
  </si>
  <si>
    <t>893800064</t>
  </si>
  <si>
    <t>BV4330 .R68 1999</t>
  </si>
  <si>
    <t>0                      BV 4330000R  68          1999</t>
  </si>
  <si>
    <t>Dealing with grief, theirs and ours / Jeroid O'Neil Roussell, Jr.</t>
  </si>
  <si>
    <t>Roussell, Jeroid O'Neil.</t>
  </si>
  <si>
    <t>New York : Alba House, c1999.</t>
  </si>
  <si>
    <t>2003-12-18</t>
  </si>
  <si>
    <t>2000-10-03</t>
  </si>
  <si>
    <t>26257560:eng</t>
  </si>
  <si>
    <t>40744410</t>
  </si>
  <si>
    <t>991003222229702656</t>
  </si>
  <si>
    <t>2263661800002656</t>
  </si>
  <si>
    <t>9780818908231</t>
  </si>
  <si>
    <t>32285003766150</t>
  </si>
  <si>
    <t>893530958</t>
  </si>
  <si>
    <t>BV4335 .H678 1985</t>
  </si>
  <si>
    <t>0                      BV 4335000H  678         1985</t>
  </si>
  <si>
    <t>Hospital ministry : the role of the chaplain today / edited by Lawrence E. Holst.</t>
  </si>
  <si>
    <t>New York : Crossroad, 1985.</t>
  </si>
  <si>
    <t>2006-03-28</t>
  </si>
  <si>
    <t>54697776:eng</t>
  </si>
  <si>
    <t>11812681</t>
  </si>
  <si>
    <t>991000595769702656</t>
  </si>
  <si>
    <t>2260024820002656</t>
  </si>
  <si>
    <t>9780824506971</t>
  </si>
  <si>
    <t>32285000887165</t>
  </si>
  <si>
    <t>893315082</t>
  </si>
  <si>
    <t>BV4335.C32 A7</t>
  </si>
  <si>
    <t>0                      BV 4335000C  32                 A  7</t>
  </si>
  <si>
    <t>The art of ministering to the sick / by Richard C. Cabot, M.D. and Russell L. Dicks, B.D.</t>
  </si>
  <si>
    <t>Cabot, Richard C. (Richard Clarke), 1868-1939.</t>
  </si>
  <si>
    <t>New York : The Macmillan Company, c1936, 1944 printing.</t>
  </si>
  <si>
    <t>1681145:eng</t>
  </si>
  <si>
    <t>817107</t>
  </si>
  <si>
    <t>991003294749702656</t>
  </si>
  <si>
    <t>2269825750002656</t>
  </si>
  <si>
    <t>32285000965797</t>
  </si>
  <si>
    <t>893336344</t>
  </si>
  <si>
    <t>BV4376 .W45 2005</t>
  </si>
  <si>
    <t>0                      BV 4376000W  45          2005</t>
  </si>
  <si>
    <t>The college chaplain : a practical guide to campus ministry / Stephen L. White.</t>
  </si>
  <si>
    <t>White, Stephen L., 1949-</t>
  </si>
  <si>
    <t>Cleveland : Pilgrim Press, 2005.</t>
  </si>
  <si>
    <t>2007-02-21</t>
  </si>
  <si>
    <t>9994637838:eng</t>
  </si>
  <si>
    <t>60500457</t>
  </si>
  <si>
    <t>991005024999702656</t>
  </si>
  <si>
    <t>2267789720002656</t>
  </si>
  <si>
    <t>9780829816778</t>
  </si>
  <si>
    <t>32285005300834</t>
  </si>
  <si>
    <t>893248228</t>
  </si>
  <si>
    <t>BV4390 .A913 1968</t>
  </si>
  <si>
    <t>0                      BV 4390000A  913         1968</t>
  </si>
  <si>
    <t>Structures of Christian priesthood : a study of home, marriage, and celibacy in the pastoral service of the church / Jean-Paul Audet. Translated by Rosemary Sheed.</t>
  </si>
  <si>
    <t>Audet, Jean-Paul, 1918-1993.</t>
  </si>
  <si>
    <t>New York : Macmillan, [1968]</t>
  </si>
  <si>
    <t>[1st American ed.]</t>
  </si>
  <si>
    <t>2002-11-25</t>
  </si>
  <si>
    <t>56302447:eng</t>
  </si>
  <si>
    <t>904719</t>
  </si>
  <si>
    <t>991003368999702656</t>
  </si>
  <si>
    <t>2263688380002656</t>
  </si>
  <si>
    <t>32285000965813</t>
  </si>
  <si>
    <t>893617289</t>
  </si>
  <si>
    <t>BV4390 .G613 1965</t>
  </si>
  <si>
    <t>0                      BV 4390000G  613         1965</t>
  </si>
  <si>
    <t>Is celibacy outdated? / [by] Ida Friederike Görres. Translated by Barbara Waldstein-Wartenberg in collaboration with the author.</t>
  </si>
  <si>
    <t>Görres, Ida Friederike, 1901-1971.</t>
  </si>
  <si>
    <t>Westminster, Md. : Newman Press, [1965]</t>
  </si>
  <si>
    <t>2007-04-04</t>
  </si>
  <si>
    <t>1990-05-24</t>
  </si>
  <si>
    <t>14796152:eng</t>
  </si>
  <si>
    <t>2504831</t>
  </si>
  <si>
    <t>991004143479702656</t>
  </si>
  <si>
    <t>2258642360002656</t>
  </si>
  <si>
    <t>32285000165596</t>
  </si>
  <si>
    <t>893775685</t>
  </si>
  <si>
    <t>BV4395 .M67</t>
  </si>
  <si>
    <t>0                      BV 4395000M  67</t>
  </si>
  <si>
    <t>Wives of priests; a study of clergy wives in the Episcopal church / by John H. Morgan and Linda B. Morgan.</t>
  </si>
  <si>
    <t>Morgan, John Henry.</t>
  </si>
  <si>
    <t>Bristol, Indiana, The Parish Church Library, 1980.</t>
  </si>
  <si>
    <t>2003-08-04</t>
  </si>
  <si>
    <t>1992-02-25</t>
  </si>
  <si>
    <t>26635812:eng</t>
  </si>
  <si>
    <t>7243474</t>
  </si>
  <si>
    <t>991005094789702656</t>
  </si>
  <si>
    <t>2257633560002656</t>
  </si>
  <si>
    <t>32285000965862</t>
  </si>
  <si>
    <t>893437144</t>
  </si>
  <si>
    <t>BV4397.5 .H35 2004</t>
  </si>
  <si>
    <t>0                      BV 4397500H  35          2004</t>
  </si>
  <si>
    <t>The right road : life choices for clergy / Gwen Wagstrom Halaas.</t>
  </si>
  <si>
    <t>Halaas, Gwen Wagstrom, 1954-</t>
  </si>
  <si>
    <t>Minneapolis : Fortress Press, c2004.</t>
  </si>
  <si>
    <t>Prisms</t>
  </si>
  <si>
    <t>2004-11-17</t>
  </si>
  <si>
    <t>1105009408:eng</t>
  </si>
  <si>
    <t>54988552</t>
  </si>
  <si>
    <t>991004423309702656</t>
  </si>
  <si>
    <t>2266361790002656</t>
  </si>
  <si>
    <t>9780800636579</t>
  </si>
  <si>
    <t>32285005011662</t>
  </si>
  <si>
    <t>893706396</t>
  </si>
  <si>
    <t>BV4398 .H84 1985</t>
  </si>
  <si>
    <t>0                      BV 4398000H  84          1985</t>
  </si>
  <si>
    <t>Managing stress in ministry / William E. Hulme.</t>
  </si>
  <si>
    <t>Hulme, William E. (William Edward), 1920-1995.</t>
  </si>
  <si>
    <t>San Francisco : Harper &amp; Row, c1985.</t>
  </si>
  <si>
    <t>1991-03-21</t>
  </si>
  <si>
    <t>3930169:eng</t>
  </si>
  <si>
    <t>11468501</t>
  </si>
  <si>
    <t>991000538349702656</t>
  </si>
  <si>
    <t>2264788490002656</t>
  </si>
  <si>
    <t>9780060640774</t>
  </si>
  <si>
    <t>32285000536481</t>
  </si>
  <si>
    <t>893425815</t>
  </si>
  <si>
    <t>BV4398 .S26 1982</t>
  </si>
  <si>
    <t>0                      BV 4398000S  26          1982</t>
  </si>
  <si>
    <t>Ministry burnout / John A. Sanford.</t>
  </si>
  <si>
    <t>Sanford, John A.</t>
  </si>
  <si>
    <t>New York : Paulist Press, c1982.</t>
  </si>
  <si>
    <t>2673528:eng</t>
  </si>
  <si>
    <t>8782289</t>
  </si>
  <si>
    <t>991000070289702656</t>
  </si>
  <si>
    <t>2264495580002656</t>
  </si>
  <si>
    <t>9780809103331</t>
  </si>
  <si>
    <t>32285000837699</t>
  </si>
  <si>
    <t>893790212</t>
  </si>
  <si>
    <t>BV4400 .S716 2000</t>
  </si>
  <si>
    <t>0                      BV 4400000S  716         2000</t>
  </si>
  <si>
    <t>The other six days : vocation, work, and ministry in biblical perspective / R. Paul Stevens.</t>
  </si>
  <si>
    <t>Stevens, R. Paul, 1937-</t>
  </si>
  <si>
    <t>Grand Rapids, Mich. : W.B. Eerdmans ; Vancouver, B.C. : Regent College Pub., 2000, c1999.</t>
  </si>
  <si>
    <t>1083770521:eng</t>
  </si>
  <si>
    <t>44174195</t>
  </si>
  <si>
    <t>991004741269702656</t>
  </si>
  <si>
    <t>2258967390002656</t>
  </si>
  <si>
    <t>9780802848000</t>
  </si>
  <si>
    <t>32285005165211</t>
  </si>
  <si>
    <t>893776376</t>
  </si>
  <si>
    <t>BV4405 .C64 1998</t>
  </si>
  <si>
    <t>0                      BV 4405000C  64          1998</t>
  </si>
  <si>
    <t>Common life in the early church : essays honoring Graydon F. Snyder / edited by Julian V. Hills ; with Richard B. Gardner ... [et al.].</t>
  </si>
  <si>
    <t>2007-07-11</t>
  </si>
  <si>
    <t>2000-08-28</t>
  </si>
  <si>
    <t>346340164:eng</t>
  </si>
  <si>
    <t>39811737</t>
  </si>
  <si>
    <t>991003221509702656</t>
  </si>
  <si>
    <t>2269830500002656</t>
  </si>
  <si>
    <t>9781563382543</t>
  </si>
  <si>
    <t>32285003759486</t>
  </si>
  <si>
    <t>893617115</t>
  </si>
  <si>
    <t>BV4405 .R38 1990</t>
  </si>
  <si>
    <t>0                      BV 4405000R  38          1990</t>
  </si>
  <si>
    <t>Radical Christian communities / by Thomas P. Rausch.</t>
  </si>
  <si>
    <t>Rausch, Thomas P.</t>
  </si>
  <si>
    <t>Collegeville, Minn. : Liturgical Press, c1990.</t>
  </si>
  <si>
    <t>2008-03-27</t>
  </si>
  <si>
    <t>1992-09-30</t>
  </si>
  <si>
    <t>10293877:eng</t>
  </si>
  <si>
    <t>22182658</t>
  </si>
  <si>
    <t>991001751349702656</t>
  </si>
  <si>
    <t>2259499360002656</t>
  </si>
  <si>
    <t>9780814650080</t>
  </si>
  <si>
    <t>32285001315240</t>
  </si>
  <si>
    <t>893885511</t>
  </si>
  <si>
    <t>BV4405 .W47 1992</t>
  </si>
  <si>
    <t>0                      BV 4405000W  47          1992</t>
  </si>
  <si>
    <t>Good things happen : experiencing community in small groups / Dick Westley.</t>
  </si>
  <si>
    <t>Mystic, Conn. : Twenty-Third Publications, c1992.</t>
  </si>
  <si>
    <t>29807047:eng</t>
  </si>
  <si>
    <t>27086236</t>
  </si>
  <si>
    <t>991005328569702656</t>
  </si>
  <si>
    <t>2271389010002656</t>
  </si>
  <si>
    <t>9780896225121</t>
  </si>
  <si>
    <t>32285005539340</t>
  </si>
  <si>
    <t>893625828</t>
  </si>
  <si>
    <t>BV4406.U6 L44 1986</t>
  </si>
  <si>
    <t>0                      BV 4406000U  6                  L  44          1986</t>
  </si>
  <si>
    <t>Dangerous memories : house churches and our American story / Bernard J. Lee, Michael A. Cowan.</t>
  </si>
  <si>
    <t>Lee, Bernard J., 1932-</t>
  </si>
  <si>
    <t>Kansas City, MO : Sheed &amp; Ward, c1986.</t>
  </si>
  <si>
    <t>1996-05-03</t>
  </si>
  <si>
    <t>1990-03-15</t>
  </si>
  <si>
    <t>226593235:eng</t>
  </si>
  <si>
    <t>15431852</t>
  </si>
  <si>
    <t>991001024999702656</t>
  </si>
  <si>
    <t>2257043690002656</t>
  </si>
  <si>
    <t>9780934134682</t>
  </si>
  <si>
    <t>32285000045004</t>
  </si>
  <si>
    <t>893333986</t>
  </si>
  <si>
    <t>BV4424.C3 B7 1976</t>
  </si>
  <si>
    <t>0                      BV 4424000C  3                  B  7           1976</t>
  </si>
  <si>
    <t>Ordained to service : a theology of the permanent diaconate / Norbert Brockman.</t>
  </si>
  <si>
    <t>Brockman, Norbert.</t>
  </si>
  <si>
    <t>Hicksville, N.Y. : Exposition, c1976</t>
  </si>
  <si>
    <t>1097256947:eng</t>
  </si>
  <si>
    <t>2485964</t>
  </si>
  <si>
    <t>991004135879702656</t>
  </si>
  <si>
    <t>2261724130002656</t>
  </si>
  <si>
    <t>9780682485616</t>
  </si>
  <si>
    <t>32285000965995</t>
  </si>
  <si>
    <t>893888325</t>
  </si>
  <si>
    <t>BV4435 .A34</t>
  </si>
  <si>
    <t>0                      BV 4435000A  34</t>
  </si>
  <si>
    <t>Aging and the human spirit : a reader in religion and gerontology / edited by Carol LeFevre and Perry LeFevre.</t>
  </si>
  <si>
    <t>Chicago : Exploration Press, c1981.</t>
  </si>
  <si>
    <t>1994-07-31</t>
  </si>
  <si>
    <t>904456040:eng</t>
  </si>
  <si>
    <t>7376868</t>
  </si>
  <si>
    <t>991005108419702656</t>
  </si>
  <si>
    <t>2265489520002656</t>
  </si>
  <si>
    <t>9780913552162</t>
  </si>
  <si>
    <t>32285000966001</t>
  </si>
  <si>
    <t>893701030</t>
  </si>
  <si>
    <t>BV4435 .L38</t>
  </si>
  <si>
    <t>0                      BV 4435000L  38</t>
  </si>
  <si>
    <t>Ministering to the aging : every Christian's call / Bartholomew J. Laurello ; [photo credits, Robert Beckhard ... et al. ; cover photo, Rick Smolan].</t>
  </si>
  <si>
    <t>Laurello, Bartholomew J.</t>
  </si>
  <si>
    <t>New York : Paulist Press, 1979.</t>
  </si>
  <si>
    <t>1994-07-25</t>
  </si>
  <si>
    <t>466227:eng</t>
  </si>
  <si>
    <t>6040932</t>
  </si>
  <si>
    <t>991004919139702656</t>
  </si>
  <si>
    <t>2259464240002656</t>
  </si>
  <si>
    <t>32285000966035</t>
  </si>
  <si>
    <t>893795405</t>
  </si>
  <si>
    <t>BV4435 .M33</t>
  </si>
  <si>
    <t>0                      BV 4435000M  33</t>
  </si>
  <si>
    <t>Claiming a frontier : ministry and older people / Robert W. McClellan ; [illustrator, Kim Rarig].</t>
  </si>
  <si>
    <t>McClellan, Robert W.</t>
  </si>
  <si>
    <t>[Los Angeles] : Ethel Percy Andrus Gerontology Center, University of Southern California, c1977, 1979 printing.</t>
  </si>
  <si>
    <t>11520773:eng</t>
  </si>
  <si>
    <t>3547531</t>
  </si>
  <si>
    <t>991004462219702656</t>
  </si>
  <si>
    <t>2263975190002656</t>
  </si>
  <si>
    <t>9780884740407</t>
  </si>
  <si>
    <t>32285000966092</t>
  </si>
  <si>
    <t>893442640</t>
  </si>
  <si>
    <t>BV4435 .M56 1981</t>
  </si>
  <si>
    <t>0                      BV 4435000M  56          1981</t>
  </si>
  <si>
    <t>Ministry with the aging / edited by William M. Clements.</t>
  </si>
  <si>
    <t>San Francisco : Harper &amp; Row, c1981.</t>
  </si>
  <si>
    <t>1994-11-21</t>
  </si>
  <si>
    <t>54397170:eng</t>
  </si>
  <si>
    <t>6649608</t>
  </si>
  <si>
    <t>991005020829702656</t>
  </si>
  <si>
    <t>2265920670002656</t>
  </si>
  <si>
    <t>9780060614966</t>
  </si>
  <si>
    <t>32285000966050</t>
  </si>
  <si>
    <t>893619332</t>
  </si>
  <si>
    <t>BV4437.5 .G73 1997</t>
  </si>
  <si>
    <t>0                      BV 4437500G  73          1997</t>
  </si>
  <si>
    <t>Discovering images of God : narratives of care among lesbians and gays / Larry Kent Graham.</t>
  </si>
  <si>
    <t>Graham, Larry Kent.</t>
  </si>
  <si>
    <t>Louisville, Ky. : Westminster John Knox Press, c1997.</t>
  </si>
  <si>
    <t>1998-09-15</t>
  </si>
  <si>
    <t>1998-08-26</t>
  </si>
  <si>
    <t>1032930:eng</t>
  </si>
  <si>
    <t>35593630</t>
  </si>
  <si>
    <t>991002713779702656</t>
  </si>
  <si>
    <t>2272102710002656</t>
  </si>
  <si>
    <t>9780664256265</t>
  </si>
  <si>
    <t>32285003463030</t>
  </si>
  <si>
    <t>893245546</t>
  </si>
  <si>
    <t>BV4438 .C37</t>
  </si>
  <si>
    <t>0                      BV 4438000C  37</t>
  </si>
  <si>
    <t>A vision and strategy : the plan of pastoral action for family ministry / National Conference of Catholic Bishops, United States Catholic Conference. --</t>
  </si>
  <si>
    <t>[Washington, D.C.] : U.S. Catholic Conference, 1978.</t>
  </si>
  <si>
    <t>1999-10-22</t>
  </si>
  <si>
    <t>2643152168:eng</t>
  </si>
  <si>
    <t>4521549</t>
  </si>
  <si>
    <t>991004672989702656</t>
  </si>
  <si>
    <t>2270454210002656</t>
  </si>
  <si>
    <t>32285000966084</t>
  </si>
  <si>
    <t>893519922</t>
  </si>
  <si>
    <t>BV4438 .C38 1994</t>
  </si>
  <si>
    <t>0                      BV 4438000C  38          1994</t>
  </si>
  <si>
    <t>Follow the way of love : a pastoral message of the U.S. Catholic Bishops to families ; on the occasion of the United Nations 1994 International Year of the Family / National Conference of Catholic Bishops.</t>
  </si>
  <si>
    <t>Washington, D.C. : Office for Publishing and Promotion Services, United States Catholic Conference, c1994.</t>
  </si>
  <si>
    <t>Publication / United States Catholic Conference, Office for Publishing and Promotion Services ; no. 677-8</t>
  </si>
  <si>
    <t>1994-03-22</t>
  </si>
  <si>
    <t>31659365:eng</t>
  </si>
  <si>
    <t>29850131</t>
  </si>
  <si>
    <t>991002301399702656</t>
  </si>
  <si>
    <t>2270338400002656</t>
  </si>
  <si>
    <t>9781555866778</t>
  </si>
  <si>
    <t>32285001862589</t>
  </si>
  <si>
    <t>893804440</t>
  </si>
  <si>
    <t>BV4438 .W67 1995</t>
  </si>
  <si>
    <t>0                      BV 4438000W  67          1995</t>
  </si>
  <si>
    <t>Work, family, and religion in contemporary society / edited by Nancy Tatom Ammerman and Wade Clark Roof.</t>
  </si>
  <si>
    <t>New York : Routledge, 1995.</t>
  </si>
  <si>
    <t>1995-11-15</t>
  </si>
  <si>
    <t>32996574:eng</t>
  </si>
  <si>
    <t>31075724</t>
  </si>
  <si>
    <t>991002392799702656</t>
  </si>
  <si>
    <t>2269670880002656</t>
  </si>
  <si>
    <t>9780415911719</t>
  </si>
  <si>
    <t>32285002098530</t>
  </si>
  <si>
    <t>893329015</t>
  </si>
  <si>
    <t>BV4438.5 .F67 1991</t>
  </si>
  <si>
    <t>0                      BV 4438500F  67          1991</t>
  </si>
  <si>
    <t>Violence in the family : a workshop curriculum for clergy and other helpers / Marie M. Fortune.</t>
  </si>
  <si>
    <t>Fortune, Marie M.</t>
  </si>
  <si>
    <t>Cleveland, Ohio : Pilgrim Press, c1991.</t>
  </si>
  <si>
    <t>2000-04-25</t>
  </si>
  <si>
    <t>1995-12-11</t>
  </si>
  <si>
    <t>19197250:eng</t>
  </si>
  <si>
    <t>23901888</t>
  </si>
  <si>
    <t>991001893169702656</t>
  </si>
  <si>
    <t>2262289560002656</t>
  </si>
  <si>
    <t>32285002110749</t>
  </si>
  <si>
    <t>893516644</t>
  </si>
  <si>
    <t>BV4445 .H833 1992</t>
  </si>
  <si>
    <t>0                      BV 4445000H  833         1992</t>
  </si>
  <si>
    <t>Women : the misunderstood majority / M. Gay Hubbard.</t>
  </si>
  <si>
    <t>Hubbard, M. Gay, 1931-</t>
  </si>
  <si>
    <t>[Irving, Tex.] : Word, c1992.</t>
  </si>
  <si>
    <t>Contemporary Christian counseling</t>
  </si>
  <si>
    <t>2006-04-14</t>
  </si>
  <si>
    <t>16669473:eng</t>
  </si>
  <si>
    <t>26096335</t>
  </si>
  <si>
    <t>991004794989702656</t>
  </si>
  <si>
    <t>2268211350002656</t>
  </si>
  <si>
    <t>9780849908347</t>
  </si>
  <si>
    <t>32285005181747</t>
  </si>
  <si>
    <t>893260178</t>
  </si>
  <si>
    <t>BV4445.5 .S44 1987</t>
  </si>
  <si>
    <t>0                      BV 4445500S  44          1987</t>
  </si>
  <si>
    <t>Sexual assault and abuse : a handbook for clergy and religious professionals / edited by Mary D. Pellauer, Barbara Chester, Jane A. Boyajian.</t>
  </si>
  <si>
    <t>San Francisco : Harper &amp; Row, c1987.</t>
  </si>
  <si>
    <t>1992-11-07</t>
  </si>
  <si>
    <t>836694429:eng</t>
  </si>
  <si>
    <t>14931005</t>
  </si>
  <si>
    <t>991000967249702656</t>
  </si>
  <si>
    <t>2257220380002656</t>
  </si>
  <si>
    <t>9780062548108</t>
  </si>
  <si>
    <t>32285000966100</t>
  </si>
  <si>
    <t>893534375</t>
  </si>
  <si>
    <t>BV4446 .S73 2001</t>
  </si>
  <si>
    <t>0                      BV 4446000S  73          2001</t>
  </si>
  <si>
    <t>Starting right : thinking theologically about youth ministry / [editedby] Kenda Creasy Dean, Chap Clark, David Rahn.</t>
  </si>
  <si>
    <t>Grand Rapids, Mich. : Youth Specialties/Zondervan Pub. House, c2001.</t>
  </si>
  <si>
    <t>2007-08-02</t>
  </si>
  <si>
    <t>2001-08-07</t>
  </si>
  <si>
    <t>796516136:eng</t>
  </si>
  <si>
    <t>44885141</t>
  </si>
  <si>
    <t>991003577029702656</t>
  </si>
  <si>
    <t>2259680380002656</t>
  </si>
  <si>
    <t>9780310234067</t>
  </si>
  <si>
    <t>32285004376330</t>
  </si>
  <si>
    <t>893518635</t>
  </si>
  <si>
    <t>BV4447 .A85 1997</t>
  </si>
  <si>
    <t>0                      BV 4447000A  85          1997</t>
  </si>
  <si>
    <t>Ministry with youth in crisis / Harley Atkinson.</t>
  </si>
  <si>
    <t>Atkinson, Harley.</t>
  </si>
  <si>
    <t>Birmingham, Ala. : Religious Education Press, 1997.</t>
  </si>
  <si>
    <t>2005-02-22</t>
  </si>
  <si>
    <t>1997-07-02</t>
  </si>
  <si>
    <t>40862662:eng</t>
  </si>
  <si>
    <t>35723631</t>
  </si>
  <si>
    <t>991002724349702656</t>
  </si>
  <si>
    <t>2255223570002656</t>
  </si>
  <si>
    <t>9780891350996</t>
  </si>
  <si>
    <t>32285002880432</t>
  </si>
  <si>
    <t>893899136</t>
  </si>
  <si>
    <t>BV4447 .L825 1979</t>
  </si>
  <si>
    <t>0                      BV 4447000L  825         1979</t>
  </si>
  <si>
    <t>Building an effective youth ministry / Glenn E. Ludwig.</t>
  </si>
  <si>
    <t>Ludwig, Glenn E., 1946-</t>
  </si>
  <si>
    <t>Nashville : Abingdon, c1979, 1985 printing.</t>
  </si>
  <si>
    <t>An Abingdon original paperback</t>
  </si>
  <si>
    <t>2001-06-24</t>
  </si>
  <si>
    <t>434276:eng</t>
  </si>
  <si>
    <t>4858036</t>
  </si>
  <si>
    <t>991004737049702656</t>
  </si>
  <si>
    <t>2265205860002656</t>
  </si>
  <si>
    <t>9780687039920</t>
  </si>
  <si>
    <t>32285000966142</t>
  </si>
  <si>
    <t>893424134</t>
  </si>
  <si>
    <t>BV4460 .B67</t>
  </si>
  <si>
    <t>0                      BV 4460000B  67</t>
  </si>
  <si>
    <t>Counseling the dying / [by] Margaretta K. Bowers [and others]</t>
  </si>
  <si>
    <t>Bowers, Margaretta K.</t>
  </si>
  <si>
    <t>New York, Nelson [1964]</t>
  </si>
  <si>
    <t>1998-01-28</t>
  </si>
  <si>
    <t>54430707:eng</t>
  </si>
  <si>
    <t>985437</t>
  </si>
  <si>
    <t>991003449309702656</t>
  </si>
  <si>
    <t>2271459150002656</t>
  </si>
  <si>
    <t>32285000972447</t>
  </si>
  <si>
    <t>893893726</t>
  </si>
  <si>
    <t>BV4460.3 .C6 1992</t>
  </si>
  <si>
    <t>0                      BV 4460300C  6           1992</t>
  </si>
  <si>
    <t>Communities of hope : parishes and substance abuse : a practical guide / developed by the Bishops' Committee on Domestic Policy and the Bishops' Committee on International Policy of the United States Catholic Conference.</t>
  </si>
  <si>
    <t>Washington, D.C. : United States Catholic Conference, 1992.</t>
  </si>
  <si>
    <t>Publication / Office for Publishing and Promotion Services, United States Catholic Conference ; no. 473-2</t>
  </si>
  <si>
    <t>1997-02-26</t>
  </si>
  <si>
    <t>1992-08-25</t>
  </si>
  <si>
    <t>28844907:eng</t>
  </si>
  <si>
    <t>26082248</t>
  </si>
  <si>
    <t>991002043329702656</t>
  </si>
  <si>
    <t>2266961500002656</t>
  </si>
  <si>
    <t>9781555864736</t>
  </si>
  <si>
    <t>32285001262822</t>
  </si>
  <si>
    <t>893439701</t>
  </si>
  <si>
    <t>BV4460.6 .A38 1999</t>
  </si>
  <si>
    <t>0                      BV 4460600A  38          1999</t>
  </si>
  <si>
    <t>Letting go : caring for the dying and the bereaved / Ian Ainsworth-Smith and Peter Speck.</t>
  </si>
  <si>
    <t>Ainsworth-Smith, Ian.</t>
  </si>
  <si>
    <t>London : SPCK, c1999.</t>
  </si>
  <si>
    <t>New ed.</t>
  </si>
  <si>
    <t>New library of pastoral care</t>
  </si>
  <si>
    <t>2004-05-06</t>
  </si>
  <si>
    <t>2000-02-02</t>
  </si>
  <si>
    <t>3329290:eng</t>
  </si>
  <si>
    <t>43289863</t>
  </si>
  <si>
    <t>991003052079702656</t>
  </si>
  <si>
    <t>2267709940002656</t>
  </si>
  <si>
    <t>32285003657995</t>
  </si>
  <si>
    <t>893604400</t>
  </si>
  <si>
    <t>BV4460.6 .D76 1987</t>
  </si>
  <si>
    <t>0                      BV 4460600D  76          1987</t>
  </si>
  <si>
    <t>Guided grief imagery : a resource for grief ministry and death education / Thomas A. Droege.</t>
  </si>
  <si>
    <t>Droege, Thomas A. (Thomas Arthur), 1931-</t>
  </si>
  <si>
    <t>New York : Paulist Press, c1987.</t>
  </si>
  <si>
    <t>2002-08-06</t>
  </si>
  <si>
    <t>4744514133:eng</t>
  </si>
  <si>
    <t>16131918</t>
  </si>
  <si>
    <t>991003852619702656</t>
  </si>
  <si>
    <t>2268530950002656</t>
  </si>
  <si>
    <t>9780809129188</t>
  </si>
  <si>
    <t>32285004642194</t>
  </si>
  <si>
    <t>893722122</t>
  </si>
  <si>
    <t>BV4460.7 .C468 1990</t>
  </si>
  <si>
    <t>0                      BV 4460700C  468         1990</t>
  </si>
  <si>
    <t>The Church with AIDS : renewal in the midst of crisis / Letty M. Russell, editor.</t>
  </si>
  <si>
    <t>Louisville, Ky. : Westminster/John Knox Press, c1990.</t>
  </si>
  <si>
    <t>2004-12-06</t>
  </si>
  <si>
    <t>1089594235:eng</t>
  </si>
  <si>
    <t>21153063</t>
  </si>
  <si>
    <t>991001658349702656</t>
  </si>
  <si>
    <t>2264974410002656</t>
  </si>
  <si>
    <t>9780664251116</t>
  </si>
  <si>
    <t>32285002173614</t>
  </si>
  <si>
    <t>893684492</t>
  </si>
  <si>
    <t>BV4460.7 .K38 1988</t>
  </si>
  <si>
    <t>0                      BV 4460700K  38          1988</t>
  </si>
  <si>
    <t>Pastoral ministry in the AIDS era : focus on families and friends of persons with AIDS / Louis F. Kavar.</t>
  </si>
  <si>
    <t>Kavar, Louis F.</t>
  </si>
  <si>
    <t>Wayzata, Minn. : Woodland Pub. Co., c1988.</t>
  </si>
  <si>
    <t>The Care giver book series / The College of Chaplains</t>
  </si>
  <si>
    <t>17485828:eng</t>
  </si>
  <si>
    <t>18416156</t>
  </si>
  <si>
    <t>991005279049702656</t>
  </si>
  <si>
    <t>2256337890002656</t>
  </si>
  <si>
    <t>9780934104074</t>
  </si>
  <si>
    <t>32285005461404</t>
  </si>
  <si>
    <t>893688883</t>
  </si>
  <si>
    <t>BV4460.7 .M47 2004</t>
  </si>
  <si>
    <t>0                      BV 4460700M  47          2004</t>
  </si>
  <si>
    <t>Breaking the conspiracy of silence : Christian churches and the global AIDS crisis / Donald E. Messer.</t>
  </si>
  <si>
    <t>Messer, Donald E., 1941-</t>
  </si>
  <si>
    <t>903539:eng</t>
  </si>
  <si>
    <t>54682540</t>
  </si>
  <si>
    <t>991004423529702656</t>
  </si>
  <si>
    <t>2267769110002656</t>
  </si>
  <si>
    <t>9780800636418</t>
  </si>
  <si>
    <t>32285005011621</t>
  </si>
  <si>
    <t>893800953</t>
  </si>
  <si>
    <t>BV4463.6 .C34 1990</t>
  </si>
  <si>
    <t>0                      BV 4463600C  34          1990</t>
  </si>
  <si>
    <t>Adult children of alcoholics : ministers and the ministries / Rachel Callahan, Rea McDonnell.</t>
  </si>
  <si>
    <t>Callahan, Rachel.</t>
  </si>
  <si>
    <t>New York : Paulist Press, c1990.</t>
  </si>
  <si>
    <t>2000-04-18</t>
  </si>
  <si>
    <t>1990-10-26</t>
  </si>
  <si>
    <t>1097371478:eng</t>
  </si>
  <si>
    <t>20356189</t>
  </si>
  <si>
    <t>991001567999702656</t>
  </si>
  <si>
    <t>2269961100002656</t>
  </si>
  <si>
    <t>9780809131204</t>
  </si>
  <si>
    <t>32285000311968</t>
  </si>
  <si>
    <t>893684406</t>
  </si>
  <si>
    <t>BV4464.5 .W43 1999</t>
  </si>
  <si>
    <t>0                      BV 4464500W  43          1999</t>
  </si>
  <si>
    <t>Counseling troubled teens and their families : a handbook for pastors and youth workers / Andrew J. Weaver, John D. Preston, Leigh W. Jerome.</t>
  </si>
  <si>
    <t>Weaver, Andrew J., 1947-</t>
  </si>
  <si>
    <t>2001-08-08</t>
  </si>
  <si>
    <t>364410146:eng</t>
  </si>
  <si>
    <t>40473793</t>
  </si>
  <si>
    <t>991003565889702656</t>
  </si>
  <si>
    <t>2264238210002656</t>
  </si>
  <si>
    <t>9780687082360</t>
  </si>
  <si>
    <t>32285004376256</t>
  </si>
  <si>
    <t>893524956</t>
  </si>
  <si>
    <t>BV4465 .B57 1951</t>
  </si>
  <si>
    <t>0                      BV 4465000B  57          1951</t>
  </si>
  <si>
    <t>Gates of Dannemora.</t>
  </si>
  <si>
    <t>Bonn, John Louis, 1906-</t>
  </si>
  <si>
    <t>2001-07-19</t>
  </si>
  <si>
    <t>1467649:eng</t>
  </si>
  <si>
    <t>413819</t>
  </si>
  <si>
    <t>991002723879702656</t>
  </si>
  <si>
    <t>2267996420002656</t>
  </si>
  <si>
    <t>32285000966167</t>
  </si>
  <si>
    <t>893880315</t>
  </si>
  <si>
    <t>BV4468 .C3 1984</t>
  </si>
  <si>
    <t>0                      BV 4468000C  3           1984</t>
  </si>
  <si>
    <t>The hispanic presence : challenge and commitment ; a pastoral letter on hispanic ministry = La presencia hispana ; esperanza y compromiso ; uno carta pastoral sobre el ministerio hispano / National Conference of Catholic Bishops.</t>
  </si>
  <si>
    <t>Washington : United States Catholic Conference, 1983.</t>
  </si>
  <si>
    <t>United States Catholic Conference. Publication ; no. 891.</t>
  </si>
  <si>
    <t>1995-10-10</t>
  </si>
  <si>
    <t>3901108427:eng</t>
  </si>
  <si>
    <t>10733699</t>
  </si>
  <si>
    <t>991000420939702656</t>
  </si>
  <si>
    <t>2257186020002656</t>
  </si>
  <si>
    <t>32285000966183</t>
  </si>
  <si>
    <t>893314905</t>
  </si>
  <si>
    <t>BV4468.2.H5 C33 1988</t>
  </si>
  <si>
    <t>0                      BV 4468200H  5                  C  33          1988</t>
  </si>
  <si>
    <t>National pastoral plan for hispanic ministry / National Conference of Catholic Bishops.</t>
  </si>
  <si>
    <t>Washington, D.C. : Office of Publishing and Promotion Services, United States Catholic Conference, c1988.</t>
  </si>
  <si>
    <t>Edición bilingüe.</t>
  </si>
  <si>
    <t>Publication / Office of Publishing Services, United States Catholic Conference ; no. 199-7</t>
  </si>
  <si>
    <t>55150801:eng</t>
  </si>
  <si>
    <t>18778892</t>
  </si>
  <si>
    <t>991001288039702656</t>
  </si>
  <si>
    <t>2258058490002656</t>
  </si>
  <si>
    <t>9781555861995</t>
  </si>
  <si>
    <t>32285000966191</t>
  </si>
  <si>
    <t>893334227</t>
  </si>
  <si>
    <t>BV4468.2.H5 C34 1990</t>
  </si>
  <si>
    <t>0                      BV 4468200H  5                  C  34          1990</t>
  </si>
  <si>
    <t>Leaven for the kingdom of God.</t>
  </si>
  <si>
    <t>Catholic Church. National Conference of Catholic Bishops. Bishops' Committee for Hispanic Affairs.</t>
  </si>
  <si>
    <t>Washington, D.C. : United States Catholic Conference, 1990.</t>
  </si>
  <si>
    <t>Ed. Bilingüe.</t>
  </si>
  <si>
    <t>Publication / Office for Publishing and Promotion Services, United States Catholic Conference ; no. 394-9</t>
  </si>
  <si>
    <t>1991-01-03</t>
  </si>
  <si>
    <t>24358460:eng</t>
  </si>
  <si>
    <t>22775904</t>
  </si>
  <si>
    <t>991001814629702656</t>
  </si>
  <si>
    <t>2261892140002656</t>
  </si>
  <si>
    <t>9781555863944</t>
  </si>
  <si>
    <t>32285000298033</t>
  </si>
  <si>
    <t>893346810</t>
  </si>
  <si>
    <t>BV4468.2.H57 D43 1989</t>
  </si>
  <si>
    <t>0                      BV 4468200H  57                 D  43          1989</t>
  </si>
  <si>
    <t>The second wave : Hispanic ministry and the evangelization of cultures / Allan Figueroa Deck.</t>
  </si>
  <si>
    <t>Deck, Allan Figueroa, 1945-</t>
  </si>
  <si>
    <t>Isaac Hecker studies in religion and American culture</t>
  </si>
  <si>
    <t>1997-04-09</t>
  </si>
  <si>
    <t>1990-04-02</t>
  </si>
  <si>
    <t>18933975:eng</t>
  </si>
  <si>
    <t>18833450</t>
  </si>
  <si>
    <t>991001402669702656</t>
  </si>
  <si>
    <t>2256403930002656</t>
  </si>
  <si>
    <t>9780809130429</t>
  </si>
  <si>
    <t>32285000092584</t>
  </si>
  <si>
    <t>893503389</t>
  </si>
  <si>
    <t>BV4487.C5 P75 1985</t>
  </si>
  <si>
    <t>0                      BV 4487000C  5                  P  75          1985</t>
  </si>
  <si>
    <t>The Children of God/Family of Love : an annotated bibliography / W. Douglas Pritchett.</t>
  </si>
  <si>
    <t>Pritchett, W. Douglas, 1952-</t>
  </si>
  <si>
    <t>New York : Garland Pub., 1985.</t>
  </si>
  <si>
    <t>Sects and cults in America. Bibliographical guides ; vol. 5</t>
  </si>
  <si>
    <t>1997-11-25</t>
  </si>
  <si>
    <t>1995-04-11</t>
  </si>
  <si>
    <t>836678978:eng</t>
  </si>
  <si>
    <t>11187546</t>
  </si>
  <si>
    <t>991000502759702656</t>
  </si>
  <si>
    <t>2263509850002656</t>
  </si>
  <si>
    <t>9780824090432</t>
  </si>
  <si>
    <t>32285002026812</t>
  </si>
  <si>
    <t>893865409</t>
  </si>
  <si>
    <t>BV4490 .M62 1990</t>
  </si>
  <si>
    <t>0                      BV 4490000M  62          1990</t>
  </si>
  <si>
    <t>Modern Christian spirituality : methodological and historical essays / edited by Bradley C. Hanson.</t>
  </si>
  <si>
    <t>Atlanta, Ga. : Scholars Press, c1990.</t>
  </si>
  <si>
    <t>American Academy of Religion. AAR studies in religion ; no. 62</t>
  </si>
  <si>
    <t>2008-09-08</t>
  </si>
  <si>
    <t>1992-01-02</t>
  </si>
  <si>
    <t>152297754:eng</t>
  </si>
  <si>
    <t>22593022</t>
  </si>
  <si>
    <t>991001794199702656</t>
  </si>
  <si>
    <t>2263296670002656</t>
  </si>
  <si>
    <t>9781555405571</t>
  </si>
  <si>
    <t>32285000862978</t>
  </si>
  <si>
    <t>893334608</t>
  </si>
  <si>
    <t>BV4490 .S72 1990</t>
  </si>
  <si>
    <t>0                      BV 4490000S  72          1990</t>
  </si>
  <si>
    <t>Spiritual traditions for the contemporary church / edited by Robin Maas and Gabriel O'Donnell.</t>
  </si>
  <si>
    <t>Nashville : Abingdon Press, c1990.</t>
  </si>
  <si>
    <t>2008-07-21</t>
  </si>
  <si>
    <t>351881265:eng</t>
  </si>
  <si>
    <t>20754475</t>
  </si>
  <si>
    <t>991003565969702656</t>
  </si>
  <si>
    <t>2264144950002656</t>
  </si>
  <si>
    <t>9780687392346</t>
  </si>
  <si>
    <t>32285004376223</t>
  </si>
  <si>
    <t>893810046</t>
  </si>
  <si>
    <t>BV4490 .S73 1976</t>
  </si>
  <si>
    <t>0                      BV 4490000S  73          1976</t>
  </si>
  <si>
    <t>The Spirituality of Western Christendom / introd. by Jean Leclercq ; edited by E. Rozanne Elder.</t>
  </si>
  <si>
    <t>Kalamazoo : Published for the Medieval Institute &amp; the Institute of Cistercian Studies, Western Michigan University, [by] Cistercian Publications, 1976.</t>
  </si>
  <si>
    <t>Cistercian studies series ; no. 30</t>
  </si>
  <si>
    <t>2005-02-04</t>
  </si>
  <si>
    <t>367056426:eng</t>
  </si>
  <si>
    <t>2332354</t>
  </si>
  <si>
    <t>991004087079702656</t>
  </si>
  <si>
    <t>2264037330002656</t>
  </si>
  <si>
    <t>9780879079871</t>
  </si>
  <si>
    <t>32285003514998</t>
  </si>
  <si>
    <t>893318786</t>
  </si>
  <si>
    <t>BV4495 .F57 1978</t>
  </si>
  <si>
    <t>0                      BV 4495000F  57          1978</t>
  </si>
  <si>
    <t>The Fire and the cloud : an anthology of Catholic spirituality / edited by David A. Fleming.</t>
  </si>
  <si>
    <t>1995-07-10</t>
  </si>
  <si>
    <t>840303317:eng</t>
  </si>
  <si>
    <t>3790347</t>
  </si>
  <si>
    <t>991004516909702656</t>
  </si>
  <si>
    <t>2267202500002656</t>
  </si>
  <si>
    <t>9780809120659</t>
  </si>
  <si>
    <t>32285000966233</t>
  </si>
  <si>
    <t>893253776</t>
  </si>
  <si>
    <t>BV4495 .P56 1983</t>
  </si>
  <si>
    <t>0                      BV 4495000P  56          1983</t>
  </si>
  <si>
    <t>Pilgrimage of the heart : a treasury of Eastern Christian spirituality / edited by George A. Maloney.</t>
  </si>
  <si>
    <t>San Francisco, [CA] : Harper &amp; Row, c1983.</t>
  </si>
  <si>
    <t>2002-02-12</t>
  </si>
  <si>
    <t>950284526:eng</t>
  </si>
  <si>
    <t>9393306</t>
  </si>
  <si>
    <t>991000184899702656</t>
  </si>
  <si>
    <t>2265853380002656</t>
  </si>
  <si>
    <t>9780060654139</t>
  </si>
  <si>
    <t>32285004466289</t>
  </si>
  <si>
    <t>893438085</t>
  </si>
  <si>
    <t>BV45 .H63 1941</t>
  </si>
  <si>
    <t>0                      BV 0045000H  63          1941</t>
  </si>
  <si>
    <t>A Christmas chronicle / [by] Aloysius Horn.</t>
  </si>
  <si>
    <t>Horn, Trader, 1861-1931.</t>
  </si>
  <si>
    <t>Paterson, N. J. : St. Anthony guild press, 1941.</t>
  </si>
  <si>
    <t>1998-12-14</t>
  </si>
  <si>
    <t>312199441:eng</t>
  </si>
  <si>
    <t>2097421</t>
  </si>
  <si>
    <t>991004013159702656</t>
  </si>
  <si>
    <t>2268691740002656</t>
  </si>
  <si>
    <t>32285000835123</t>
  </si>
  <si>
    <t>893531873</t>
  </si>
  <si>
    <t>BV45 .W8 1958</t>
  </si>
  <si>
    <t>0                      BV 0045000W  8           1958</t>
  </si>
  <si>
    <t>The graces of Christmas / Bernard Wuellner.</t>
  </si>
  <si>
    <t>Wuellner, Bernard J., 1904-1997.</t>
  </si>
  <si>
    <t>1993-11-09</t>
  </si>
  <si>
    <t>1746208:eng</t>
  </si>
  <si>
    <t>679293</t>
  </si>
  <si>
    <t>991003137779702656</t>
  </si>
  <si>
    <t>2269743250002656</t>
  </si>
  <si>
    <t>32285000122977</t>
  </si>
  <si>
    <t>893604469</t>
  </si>
  <si>
    <t>BV4500 .C44 1981</t>
  </si>
  <si>
    <t>0                      BV 4500000C  44          1981</t>
  </si>
  <si>
    <t>The Cell of self-knowledge : early English mystical treatises / by Margery Kempe and others.</t>
  </si>
  <si>
    <t>Spiritual classics</t>
  </si>
  <si>
    <t>2006-02-12</t>
  </si>
  <si>
    <t>54485069:eng</t>
  </si>
  <si>
    <t>8224391</t>
  </si>
  <si>
    <t>991005221419702656</t>
  </si>
  <si>
    <t>2270037420002656</t>
  </si>
  <si>
    <t>9780824500825</t>
  </si>
  <si>
    <t>32285000637164</t>
  </si>
  <si>
    <t>893332621</t>
  </si>
  <si>
    <t>BV4500 .M35 1966</t>
  </si>
  <si>
    <t>0                      BV 4500000M  35          1966</t>
  </si>
  <si>
    <t>Bonifacius : an essay upon the good / by Cotton Mather. Edited with an introd. by David Levin.</t>
  </si>
  <si>
    <t>Mather, Cotton, 1663-1728.</t>
  </si>
  <si>
    <t>Cambridge, Belknap Press of Harvard University Press, 1966.</t>
  </si>
  <si>
    <t>The John Harvard Library</t>
  </si>
  <si>
    <t>1992-02-05</t>
  </si>
  <si>
    <t>1990-04-25</t>
  </si>
  <si>
    <t>3855326609:eng</t>
  </si>
  <si>
    <t>1148294</t>
  </si>
  <si>
    <t>991003572629702656</t>
  </si>
  <si>
    <t>2261182310002656</t>
  </si>
  <si>
    <t>32285000132265</t>
  </si>
  <si>
    <t>893799887</t>
  </si>
  <si>
    <t>BV4501 .I5 1952</t>
  </si>
  <si>
    <t>0                      BV 4501000I  5           1952</t>
  </si>
  <si>
    <t>The Interior life simplified and reduced to its fundamental principle / edited by Joseph Tissot. Translated by W. H. Mitchell.</t>
  </si>
  <si>
    <t>Westminster, Md. : Newman Press, 1952, c1943.</t>
  </si>
  <si>
    <t>[2d ed]</t>
  </si>
  <si>
    <t>1998-08-24</t>
  </si>
  <si>
    <t>4919039884:eng</t>
  </si>
  <si>
    <t>3174936</t>
  </si>
  <si>
    <t>991004367419702656</t>
  </si>
  <si>
    <t>2267897010002656</t>
  </si>
  <si>
    <t>32285000966357</t>
  </si>
  <si>
    <t>893519569</t>
  </si>
  <si>
    <t>BV4501 .K4242 1948</t>
  </si>
  <si>
    <t>0                      BV 4501000K  4242        1948</t>
  </si>
  <si>
    <t>You can change the world! : the Christopher approach / James Keller.</t>
  </si>
  <si>
    <t>Keller, James, 1900-1977.</t>
  </si>
  <si>
    <t>New York : Longmans, Green, [1948]</t>
  </si>
  <si>
    <t>1994-09-11</t>
  </si>
  <si>
    <t>41107450:eng</t>
  </si>
  <si>
    <t>1019154</t>
  </si>
  <si>
    <t>991003474949702656</t>
  </si>
  <si>
    <t>2258263290002656</t>
  </si>
  <si>
    <t>32285000966365</t>
  </si>
  <si>
    <t>893900002</t>
  </si>
  <si>
    <t>BV4501 .P259 1988</t>
  </si>
  <si>
    <t>0                      BV 4501000P  259         1988</t>
  </si>
  <si>
    <t>Phoebe Palmer : selected writings / edited by Thomas C. Oden.</t>
  </si>
  <si>
    <t>Palmer, Phoebe, 1807-1874.</t>
  </si>
  <si>
    <t>New York : Paulist Press, c1988.</t>
  </si>
  <si>
    <t>Sources of American spirituality</t>
  </si>
  <si>
    <t>1999-06-15</t>
  </si>
  <si>
    <t>1992-02-26</t>
  </si>
  <si>
    <t>1059100096:eng</t>
  </si>
  <si>
    <t>17726847</t>
  </si>
  <si>
    <t>991001254119702656</t>
  </si>
  <si>
    <t>2258666520002656</t>
  </si>
  <si>
    <t>9780809104055</t>
  </si>
  <si>
    <t>32285000966423</t>
  </si>
  <si>
    <t>893534491</t>
  </si>
  <si>
    <t>BV4501 .U45 1947</t>
  </si>
  <si>
    <t>0                      BV 4501000U  45          1947</t>
  </si>
  <si>
    <t>Concerning the inner life : with The house of the soul / by Evelyn Churchill.</t>
  </si>
  <si>
    <t>London : Methuen, 1947.</t>
  </si>
  <si>
    <t>1947</t>
  </si>
  <si>
    <t>2009-07-14</t>
  </si>
  <si>
    <t>3943458748:eng</t>
  </si>
  <si>
    <t>4358647</t>
  </si>
  <si>
    <t>991004628679702656</t>
  </si>
  <si>
    <t>2266937440002656</t>
  </si>
  <si>
    <t>32285000966431</t>
  </si>
  <si>
    <t>893612571</t>
  </si>
  <si>
    <t>BV4501 .U46 1960</t>
  </si>
  <si>
    <t>0                      BV 4501000U  46          1960</t>
  </si>
  <si>
    <t>The golden sequence : a fourfold study of the spiritual life / Evelyn Underhill.</t>
  </si>
  <si>
    <t>New York : Harper, 1960, c1933.</t>
  </si>
  <si>
    <t>Harper Torchbooks. The Cloister library.</t>
  </si>
  <si>
    <t>1998-07-11</t>
  </si>
  <si>
    <t>1993-05-28</t>
  </si>
  <si>
    <t>2756370:eng</t>
  </si>
  <si>
    <t>3373537</t>
  </si>
  <si>
    <t>991004418369702656</t>
  </si>
  <si>
    <t>2259577040002656</t>
  </si>
  <si>
    <t>32285001668754</t>
  </si>
  <si>
    <t>893343812</t>
  </si>
  <si>
    <t>BV4501 .U5</t>
  </si>
  <si>
    <t>0                      BV 4501000U  5</t>
  </si>
  <si>
    <t>The life of the spirit and the life of to-day / by Evelyn Underhill.</t>
  </si>
  <si>
    <t>New York : Dutton, c1922.</t>
  </si>
  <si>
    <t>1922</t>
  </si>
  <si>
    <t>1995-07-11</t>
  </si>
  <si>
    <t>1866074:eng</t>
  </si>
  <si>
    <t>921480</t>
  </si>
  <si>
    <t>991003383999702656</t>
  </si>
  <si>
    <t>2269966780002656</t>
  </si>
  <si>
    <t>32285000966449</t>
  </si>
  <si>
    <t>893705175</t>
  </si>
  <si>
    <t>BV4501 .U52 1968</t>
  </si>
  <si>
    <t>0                      BV 4501000U  52          1968</t>
  </si>
  <si>
    <t>Mixed pasture : twelve essays and addresses / by Evelyn Underhill.</t>
  </si>
  <si>
    <t>Freeport, N.Y., Books for Libraries Press [1968]</t>
  </si>
  <si>
    <t>Essay index reprint series</t>
  </si>
  <si>
    <t>2010-09-26</t>
  </si>
  <si>
    <t>1502712:eng</t>
  </si>
  <si>
    <t>384071</t>
  </si>
  <si>
    <t>991002767179702656</t>
  </si>
  <si>
    <t>2269427140002656</t>
  </si>
  <si>
    <t>32285000637156</t>
  </si>
  <si>
    <t>893341823</t>
  </si>
  <si>
    <t>BV4501.2 .A432 1981</t>
  </si>
  <si>
    <t>0                      BV 4501200A  432         1981</t>
  </si>
  <si>
    <t>The traces of God in a frequently hostile world / Diogenes Allen.</t>
  </si>
  <si>
    <t>Allen, Diogenes.</t>
  </si>
  <si>
    <t>Cambridge, MA : Cowley, c1981.</t>
  </si>
  <si>
    <t>1996-02-19</t>
  </si>
  <si>
    <t>564767:eng</t>
  </si>
  <si>
    <t>7364515</t>
  </si>
  <si>
    <t>991005107809702656</t>
  </si>
  <si>
    <t>2260495080002656</t>
  </si>
  <si>
    <t>9780936384030</t>
  </si>
  <si>
    <t>32285000966464</t>
  </si>
  <si>
    <t>893507622</t>
  </si>
  <si>
    <t>BV4501.2 .B248 1996</t>
  </si>
  <si>
    <t>0                      BV 4501200B  248         1996</t>
  </si>
  <si>
    <t>Spirituality in transition / James J. Bacik.</t>
  </si>
  <si>
    <t>Bacik, James J., 1936-</t>
  </si>
  <si>
    <t>Kansas City : Sheed &amp; Ward, c1996.</t>
  </si>
  <si>
    <t>1997-01-28</t>
  </si>
  <si>
    <t>2278983570:eng</t>
  </si>
  <si>
    <t>34576859</t>
  </si>
  <si>
    <t>991002641429702656</t>
  </si>
  <si>
    <t>2271710670002656</t>
  </si>
  <si>
    <t>9781556128578</t>
  </si>
  <si>
    <t>32285002412244</t>
  </si>
  <si>
    <t>893798818</t>
  </si>
  <si>
    <t>BV4501.2 .B56 1968</t>
  </si>
  <si>
    <t>0                      BV 4501200B  56          1968</t>
  </si>
  <si>
    <t>The crisis of piety : essays towards a theology of the Christian life / by Donald G. Bloesch.</t>
  </si>
  <si>
    <t>Bloesch, Donald G., 1928-2010.</t>
  </si>
  <si>
    <t>Grand Rapids : W.B. Eerdmans Pub. Co., c1968.</t>
  </si>
  <si>
    <t>2008-08-28</t>
  </si>
  <si>
    <t>769400053:eng</t>
  </si>
  <si>
    <t>439360</t>
  </si>
  <si>
    <t>991005261209702656</t>
  </si>
  <si>
    <t>2266558190002656</t>
  </si>
  <si>
    <t>32285005456628</t>
  </si>
  <si>
    <t>893514349</t>
  </si>
  <si>
    <t>BV4501.2 .B7668 1988</t>
  </si>
  <si>
    <t>0                      BV 4501200B  7668        1988</t>
  </si>
  <si>
    <t>Spirituality and liberation : overcoming the great fallacy / Robert McAfee Brown.</t>
  </si>
  <si>
    <t>Brown, Robert McAfee, 1920-2001.</t>
  </si>
  <si>
    <t>Philadelphia : Westminster Press, c1988.</t>
  </si>
  <si>
    <t>2002-03-20</t>
  </si>
  <si>
    <t>232882988:eng</t>
  </si>
  <si>
    <t>16924174</t>
  </si>
  <si>
    <t>991001166719702656</t>
  </si>
  <si>
    <t>2271259000002656</t>
  </si>
  <si>
    <t>9780664250027</t>
  </si>
  <si>
    <t>32285000654664</t>
  </si>
  <si>
    <t>893866017</t>
  </si>
  <si>
    <t>BV4501.2 .C37 1988</t>
  </si>
  <si>
    <t>0                      BV 4501200C  37          1988</t>
  </si>
  <si>
    <t>Sharing the darkness : the spirituality of caring / Sheila Cassidy ; foreword by Jean Vanier.</t>
  </si>
  <si>
    <t>Cassidy, Sheila.</t>
  </si>
  <si>
    <t>London : Darton, Longman and Todd, 1988.</t>
  </si>
  <si>
    <t>26450605:eng</t>
  </si>
  <si>
    <t>18626699</t>
  </si>
  <si>
    <t>991001377349702656</t>
  </si>
  <si>
    <t>2266860870002656</t>
  </si>
  <si>
    <t>9780232517903</t>
  </si>
  <si>
    <t>32285000966480</t>
  </si>
  <si>
    <t>893608807</t>
  </si>
  <si>
    <t>BV4501.2 .C563 1987</t>
  </si>
  <si>
    <t>0                      BV 4501200C  563         1987</t>
  </si>
  <si>
    <t>Discovering the depths / William P. Clemmons.</t>
  </si>
  <si>
    <t>Clemmons, William P., 1932-</t>
  </si>
  <si>
    <t>Nashville, Tenn. : Broadman Press, 1987.</t>
  </si>
  <si>
    <t>Rev. ed.</t>
  </si>
  <si>
    <t>1992-07-07</t>
  </si>
  <si>
    <t>461124:eng</t>
  </si>
  <si>
    <t>15220989</t>
  </si>
  <si>
    <t>991001002539702656</t>
  </si>
  <si>
    <t>2262722830002656</t>
  </si>
  <si>
    <t>9780805455625</t>
  </si>
  <si>
    <t>32285000966498</t>
  </si>
  <si>
    <t>893608455</t>
  </si>
  <si>
    <t>BV4501.2 .C85</t>
  </si>
  <si>
    <t>0                      BV 4501200C  85</t>
  </si>
  <si>
    <t>Spirituality and the desert experience / Charles Cummings. --</t>
  </si>
  <si>
    <t>Cummings, Charles.</t>
  </si>
  <si>
    <t>Denville, New Jersey : Dimension, [c1978]</t>
  </si>
  <si>
    <t>Studies in formative spirituality ; v. 2</t>
  </si>
  <si>
    <t>2000-07-26</t>
  </si>
  <si>
    <t>1990-04-30</t>
  </si>
  <si>
    <t>774049568:eng</t>
  </si>
  <si>
    <t>4453364</t>
  </si>
  <si>
    <t>991004640209702656</t>
  </si>
  <si>
    <t>2256679970002656</t>
  </si>
  <si>
    <t>9780871930675</t>
  </si>
  <si>
    <t>32285000128214</t>
  </si>
  <si>
    <t>893411790</t>
  </si>
  <si>
    <t>BV4501.2 .C851 1984</t>
  </si>
  <si>
    <t>0                      BV 4501200C  851         1984</t>
  </si>
  <si>
    <t>Education for spiritual growth / Iris V. Cully.</t>
  </si>
  <si>
    <t>San Francisco : Harper &amp; Row, c1984.</t>
  </si>
  <si>
    <t>2286665862:eng</t>
  </si>
  <si>
    <t>10146700</t>
  </si>
  <si>
    <t>991000320639702656</t>
  </si>
  <si>
    <t>2255639980002656</t>
  </si>
  <si>
    <t>9780060616557</t>
  </si>
  <si>
    <t>32285000966514</t>
  </si>
  <si>
    <t>893683318</t>
  </si>
  <si>
    <t>BV4501.2 .D56</t>
  </si>
  <si>
    <t>0                      BV 4501200D  56</t>
  </si>
  <si>
    <t>Dimensions of contemporary spirituality / Francis A. Eigo, editor.</t>
  </si>
  <si>
    <t>Villanova, Pa. : Villanova University Press, c1982.</t>
  </si>
  <si>
    <t>1994-06-20</t>
  </si>
  <si>
    <t>43257566:eng</t>
  </si>
  <si>
    <t>8641304</t>
  </si>
  <si>
    <t>991000040069702656</t>
  </si>
  <si>
    <t>2271634050002656</t>
  </si>
  <si>
    <t>32285000966548</t>
  </si>
  <si>
    <t>893527737</t>
  </si>
  <si>
    <t>BV4501.2 .D596 1982</t>
  </si>
  <si>
    <t>0                      BV 4501200D  596         1982</t>
  </si>
  <si>
    <t>Molchanie : the silence of God / Catherine de Hueck Doherty.</t>
  </si>
  <si>
    <t>New York : Crossroad, 1982.</t>
  </si>
  <si>
    <t>2009-07-21</t>
  </si>
  <si>
    <t>1991-09-26</t>
  </si>
  <si>
    <t>11758107:eng</t>
  </si>
  <si>
    <t>7945412</t>
  </si>
  <si>
    <t>991005180379702656</t>
  </si>
  <si>
    <t>2271161740002656</t>
  </si>
  <si>
    <t>9780824504076</t>
  </si>
  <si>
    <t>32285000762574</t>
  </si>
  <si>
    <t>893260685</t>
  </si>
  <si>
    <t>BV4501.2 .E84 1970</t>
  </si>
  <si>
    <t>0                      BV 4501200E  84          1970</t>
  </si>
  <si>
    <t>In His presence / [by] Louis Evely. Translated by J.F. Stevenson.</t>
  </si>
  <si>
    <t>[New York] : Herder and Herder, [1970]</t>
  </si>
  <si>
    <t>15369982:eng</t>
  </si>
  <si>
    <t>480712</t>
  </si>
  <si>
    <t>991002837359702656</t>
  </si>
  <si>
    <t>2268879510002656</t>
  </si>
  <si>
    <t>32285000966563</t>
  </si>
  <si>
    <t>893685843</t>
  </si>
  <si>
    <t>BV4501.2 .F47 1996</t>
  </si>
  <si>
    <t>0                      BV 4501200F  47          1996</t>
  </si>
  <si>
    <t>Wrestling with God : religious life in search of its soul / Barbara Fiand.</t>
  </si>
  <si>
    <t>Fiand, Barbara.</t>
  </si>
  <si>
    <t>New York : Crossroad Pub. Co., 1996.</t>
  </si>
  <si>
    <t>2000-11-19</t>
  </si>
  <si>
    <t>1997-03-04</t>
  </si>
  <si>
    <t>4081695768:eng</t>
  </si>
  <si>
    <t>34789667</t>
  </si>
  <si>
    <t>991002662419702656</t>
  </si>
  <si>
    <t>2261740330002656</t>
  </si>
  <si>
    <t>9780824516208</t>
  </si>
  <si>
    <t>32285002434354</t>
  </si>
  <si>
    <t>893792745</t>
  </si>
  <si>
    <t>BV4501.2 .F5898 1998</t>
  </si>
  <si>
    <t>0                      BV 4501200F  5898        1998</t>
  </si>
  <si>
    <t>The shape of living : spiritual directions for everyday life / David F. Ford.</t>
  </si>
  <si>
    <t>Ford, David F., 1948-</t>
  </si>
  <si>
    <t>Grand Rapids, Mich. : Baker Books, 1998.</t>
  </si>
  <si>
    <t>1999-08-12</t>
  </si>
  <si>
    <t>6409331:eng</t>
  </si>
  <si>
    <t>39354239</t>
  </si>
  <si>
    <t>991002952759702656</t>
  </si>
  <si>
    <t>2255380240002656</t>
  </si>
  <si>
    <t>9780801058325</t>
  </si>
  <si>
    <t>32285003581724</t>
  </si>
  <si>
    <t>893774219</t>
  </si>
  <si>
    <t>BV4501.2 .G65 1990</t>
  </si>
  <si>
    <t>0                      BV 4501200G  65          1990</t>
  </si>
  <si>
    <t>An invitation to the spiritual journey / John P. Gorsuch.</t>
  </si>
  <si>
    <t>Gorsuch, John P., 1932-2017.</t>
  </si>
  <si>
    <t>2001-02-14</t>
  </si>
  <si>
    <t>1990-03-01</t>
  </si>
  <si>
    <t>2082358794:eng</t>
  </si>
  <si>
    <t>20355259</t>
  </si>
  <si>
    <t>991005411499702656</t>
  </si>
  <si>
    <t>2269408160002656</t>
  </si>
  <si>
    <t>9780809104376</t>
  </si>
  <si>
    <t>32285000021294</t>
  </si>
  <si>
    <t>893601169</t>
  </si>
  <si>
    <t>BV4501.2 .G7 1959</t>
  </si>
  <si>
    <t>0                      BV 4501200G  7           1959</t>
  </si>
  <si>
    <t>The light and the rainbow : a study in Christian spirituality from its roots in the Old Testament and its development through the New Testament and the Fathers to recent times / by Hilda Graef.</t>
  </si>
  <si>
    <t>Graef, Hilda C.</t>
  </si>
  <si>
    <t>London : Longmans ; Westminster, Md. : Newman Press, [1959]</t>
  </si>
  <si>
    <t>1992-06-15</t>
  </si>
  <si>
    <t>47577443:eng</t>
  </si>
  <si>
    <t>2358417</t>
  </si>
  <si>
    <t>991004095439702656</t>
  </si>
  <si>
    <t>2261051300002656</t>
  </si>
  <si>
    <t>32285000966605</t>
  </si>
  <si>
    <t>893718457</t>
  </si>
  <si>
    <t>BV4501.2 .G7245 1988</t>
  </si>
  <si>
    <t>0                      BV 4501200G  7245        1988</t>
  </si>
  <si>
    <t>Answers to life's problems / Billy Graham.</t>
  </si>
  <si>
    <t>Dallas : Word Pub., c1988.</t>
  </si>
  <si>
    <t>1998-10-24</t>
  </si>
  <si>
    <t>11647389:eng</t>
  </si>
  <si>
    <t>17650493</t>
  </si>
  <si>
    <t>991001246969702656</t>
  </si>
  <si>
    <t>2268425840002656</t>
  </si>
  <si>
    <t>9780849906428</t>
  </si>
  <si>
    <t>32285000297647</t>
  </si>
  <si>
    <t>893791317</t>
  </si>
  <si>
    <t>BV4501.2 .G728 1983</t>
  </si>
  <si>
    <t>0                      BV 4501200G  728         1983</t>
  </si>
  <si>
    <t>From image to likeness : a Jungian path in the Gospel journey / W. Harold Grant, Magdala Thompson, Thomas E. Clarke.</t>
  </si>
  <si>
    <t>Grant, W. Harold (William Harold), 1933-</t>
  </si>
  <si>
    <t>281171860:eng</t>
  </si>
  <si>
    <t>10536747</t>
  </si>
  <si>
    <t>991000389749702656</t>
  </si>
  <si>
    <t>2258931660002656</t>
  </si>
  <si>
    <t>9780809125524</t>
  </si>
  <si>
    <t>32285000966613</t>
  </si>
  <si>
    <t>893321001</t>
  </si>
  <si>
    <t>BV4501.2 .H366 1996</t>
  </si>
  <si>
    <t>0                      BV 4501200H  366         1996</t>
  </si>
  <si>
    <t>Where resident aliens live : exercises for Christian practice / Stanley Hauerwas, William H. Willimon.</t>
  </si>
  <si>
    <t>Hauerwas, Stanley, 1940-</t>
  </si>
  <si>
    <t>Nashville : Abingdon Press, c1996.</t>
  </si>
  <si>
    <t>2001-10-11</t>
  </si>
  <si>
    <t>1997-12-09</t>
  </si>
  <si>
    <t>906394016:eng</t>
  </si>
  <si>
    <t>34936860</t>
  </si>
  <si>
    <t>991002671619702656</t>
  </si>
  <si>
    <t>2259265340002656</t>
  </si>
  <si>
    <t>9780687016051</t>
  </si>
  <si>
    <t>32285003282059</t>
  </si>
  <si>
    <t>893233255</t>
  </si>
  <si>
    <t>BV4501.2 .H369554 1987</t>
  </si>
  <si>
    <t>0                      BV 4501200H  369554      1987</t>
  </si>
  <si>
    <t>Spiritual development : an interdisciplinary study / Daniel A. Helminiak.</t>
  </si>
  <si>
    <t>Helminiak, Daniel A.</t>
  </si>
  <si>
    <t>Chicago : Loyola University Press, c1987.</t>
  </si>
  <si>
    <t>2006-04-28</t>
  </si>
  <si>
    <t>7012001:eng</t>
  </si>
  <si>
    <t>13760200</t>
  </si>
  <si>
    <t>991000867059702656</t>
  </si>
  <si>
    <t>2266386270002656</t>
  </si>
  <si>
    <t>9780829405309</t>
  </si>
  <si>
    <t>32285000966639</t>
  </si>
  <si>
    <t>893225394</t>
  </si>
  <si>
    <t>BV4501.2 .H43 1999</t>
  </si>
  <si>
    <t>0                      BV 4501200H  43          1999</t>
  </si>
  <si>
    <t>The fifth dimension : an exploration of the spiritual realm / John Hick.</t>
  </si>
  <si>
    <t>Hick, John, 1922-2012.</t>
  </si>
  <si>
    <t>Oxford : Oneworld, c1999.</t>
  </si>
  <si>
    <t>2002-04-09</t>
  </si>
  <si>
    <t>2002-03-05</t>
  </si>
  <si>
    <t>20287998:eng</t>
  </si>
  <si>
    <t>59438113</t>
  </si>
  <si>
    <t>991003719439702656</t>
  </si>
  <si>
    <t>2260717540002656</t>
  </si>
  <si>
    <t>9781851681907</t>
  </si>
  <si>
    <t>32285004459789</t>
  </si>
  <si>
    <t>893693069</t>
  </si>
  <si>
    <t>BV4501.2 .H8 1985</t>
  </si>
  <si>
    <t>0                      BV 4501200H  8           1985</t>
  </si>
  <si>
    <t>What prevents Christian adults from learning? / John M. Hull.</t>
  </si>
  <si>
    <t>Hull, John M.</t>
  </si>
  <si>
    <t>London : SCM, 1985.</t>
  </si>
  <si>
    <t>1993-01-06</t>
  </si>
  <si>
    <t>9087550:eng</t>
  </si>
  <si>
    <t>14692863</t>
  </si>
  <si>
    <t>991000730319702656</t>
  </si>
  <si>
    <t>2268781970002656</t>
  </si>
  <si>
    <t>9780334017844</t>
  </si>
  <si>
    <t>32285000966647</t>
  </si>
  <si>
    <t>893419730</t>
  </si>
  <si>
    <t>BV4501.2 .I77 2001</t>
  </si>
  <si>
    <t>0                      BV 4501200I  77          2001</t>
  </si>
  <si>
    <t>Wasting time with God : a Christian spirituality of friendship with God / Klaus Issler.</t>
  </si>
  <si>
    <t>Issler, Klaus Dieter.</t>
  </si>
  <si>
    <t>Downers Grove, Ill. : InterVarsity Press, c2001.</t>
  </si>
  <si>
    <t>36900826:eng</t>
  </si>
  <si>
    <t>46353425</t>
  </si>
  <si>
    <t>991004781579702656</t>
  </si>
  <si>
    <t>2256868630002656</t>
  </si>
  <si>
    <t>9780830822805</t>
  </si>
  <si>
    <t>32285005188676</t>
  </si>
  <si>
    <t>893776443</t>
  </si>
  <si>
    <t>BV4501.2 .J558 1990</t>
  </si>
  <si>
    <t>0                      BV 4501200J  558         1990</t>
  </si>
  <si>
    <t>Faith's freedom : a classic spirituality for contemporary Christians / Luke T. Johnson.</t>
  </si>
  <si>
    <t>Johnson, Luke Timothy.</t>
  </si>
  <si>
    <t>Minneapolis : Fortress Press, c1990.</t>
  </si>
  <si>
    <t>2001-02-07</t>
  </si>
  <si>
    <t>22795140:eng</t>
  </si>
  <si>
    <t>21194915</t>
  </si>
  <si>
    <t>991001662309702656</t>
  </si>
  <si>
    <t>2269677730002656</t>
  </si>
  <si>
    <t>9780800624286</t>
  </si>
  <si>
    <t>32285000725902</t>
  </si>
  <si>
    <t>893529093</t>
  </si>
  <si>
    <t>BV4501.2 .J5855 1995</t>
  </si>
  <si>
    <t>0                      BV 4501200J  5855        1995</t>
  </si>
  <si>
    <t>The soul's journey : exploring the three passages of the spiritual life with Dante as a guide / Alan Jones.</t>
  </si>
  <si>
    <t>Jones, Alan W., 1940-</t>
  </si>
  <si>
    <t>[San Francisco, Calif.] : HarperSanFrancisco, c1995.</t>
  </si>
  <si>
    <t>2004-07-23</t>
  </si>
  <si>
    <t>1997-04-03</t>
  </si>
  <si>
    <t>291306729:eng</t>
  </si>
  <si>
    <t>31936858</t>
  </si>
  <si>
    <t>991002449229702656</t>
  </si>
  <si>
    <t>2256227990002656</t>
  </si>
  <si>
    <t>9780060642532</t>
  </si>
  <si>
    <t>32285002478252</t>
  </si>
  <si>
    <t>893616129</t>
  </si>
  <si>
    <t>BV4501.2 .J673</t>
  </si>
  <si>
    <t>0                      BV 4501200J  673</t>
  </si>
  <si>
    <t>The Journey of Western spirituality / edited by A.W. Sadler.</t>
  </si>
  <si>
    <t>Chico, Calif. : Scholars Press, c1981.</t>
  </si>
  <si>
    <t>The Annual publication of the College Theology Society</t>
  </si>
  <si>
    <t>2005-04-09</t>
  </si>
  <si>
    <t>54449177:eng</t>
  </si>
  <si>
    <t>7551425</t>
  </si>
  <si>
    <t>991005123809702656</t>
  </si>
  <si>
    <t>2266097770002656</t>
  </si>
  <si>
    <t>9780891305057</t>
  </si>
  <si>
    <t>32285000966662</t>
  </si>
  <si>
    <t>893876979</t>
  </si>
  <si>
    <t>BV4501.2 .K37 1999</t>
  </si>
  <si>
    <t>0                      BV 4501200K  37          1999</t>
  </si>
  <si>
    <t>The heart of the world : an introduction to contemplative Christianity / Thomas Keating, as told to John Osborne.</t>
  </si>
  <si>
    <t>Keating, Thomas.</t>
  </si>
  <si>
    <t>New York : Crossroad, 1999.</t>
  </si>
  <si>
    <t>2010-09-15</t>
  </si>
  <si>
    <t>2001-01-15</t>
  </si>
  <si>
    <t>28880608:eng</t>
  </si>
  <si>
    <t>43452959</t>
  </si>
  <si>
    <t>991003464229702656</t>
  </si>
  <si>
    <t>2259446820002656</t>
  </si>
  <si>
    <t>32285004283304</t>
  </si>
  <si>
    <t>893518491</t>
  </si>
  <si>
    <t>BV4501.2 .K4265 1988</t>
  </si>
  <si>
    <t>0                      BV 4501200K  4265        1988</t>
  </si>
  <si>
    <t>Symbols of inner truth : uncovering the spiritual meaning of experience / Carole Marie Kelly.</t>
  </si>
  <si>
    <t>Kelly, Carole Marie.</t>
  </si>
  <si>
    <t>2005-07-11</t>
  </si>
  <si>
    <t>17819484:eng</t>
  </si>
  <si>
    <t>18382717</t>
  </si>
  <si>
    <t>991001341299702656</t>
  </si>
  <si>
    <t>2259263250002656</t>
  </si>
  <si>
    <t>9780809104246</t>
  </si>
  <si>
    <t>32285000966670</t>
  </si>
  <si>
    <t>893608773</t>
  </si>
  <si>
    <t>BV4501.2 .K4267 1983</t>
  </si>
  <si>
    <t>0                      BV 4501200K  4267        1983</t>
  </si>
  <si>
    <t>Companions on the inner way : the art of spiritual guidance / Morton T. Kelsey.</t>
  </si>
  <si>
    <t>New York, N.Y. : Crossroad, 1983.</t>
  </si>
  <si>
    <t>1997-04-27</t>
  </si>
  <si>
    <t>21351734:eng</t>
  </si>
  <si>
    <t>9082118</t>
  </si>
  <si>
    <t>991000124339702656</t>
  </si>
  <si>
    <t>2255915360002656</t>
  </si>
  <si>
    <t>9780824505608</t>
  </si>
  <si>
    <t>32285000149400</t>
  </si>
  <si>
    <t>893314703</t>
  </si>
  <si>
    <t>BV4501.2 .K427</t>
  </si>
  <si>
    <t>0                      BV 4501200K  427</t>
  </si>
  <si>
    <t>Transcend : a guide to the spiritual quest / Morton T. Kelsey.</t>
  </si>
  <si>
    <t>1994-07-06</t>
  </si>
  <si>
    <t>25929038:eng</t>
  </si>
  <si>
    <t>7170685</t>
  </si>
  <si>
    <t>991005080019702656</t>
  </si>
  <si>
    <t>2256614940002656</t>
  </si>
  <si>
    <t>9780824500153</t>
  </si>
  <si>
    <t>32285000149418</t>
  </si>
  <si>
    <t>893507573</t>
  </si>
  <si>
    <t>BV4501.2 .K434 1999</t>
  </si>
  <si>
    <t>0                      BV 4501200K  434         1999</t>
  </si>
  <si>
    <t>Life on the vine : cultivating the fruit of the spirit in Christian community / Philip D. Kenneson.</t>
  </si>
  <si>
    <t>Kenneson, Philip D.</t>
  </si>
  <si>
    <t>Downers Grove, Ill. : InterVarsity Press, c1999.</t>
  </si>
  <si>
    <t>2008-04-02</t>
  </si>
  <si>
    <t>5145559258:eng</t>
  </si>
  <si>
    <t>41870928</t>
  </si>
  <si>
    <t>991004780999702656</t>
  </si>
  <si>
    <t>2263997040002656</t>
  </si>
  <si>
    <t>9780830822195</t>
  </si>
  <si>
    <t>32285005188593</t>
  </si>
  <si>
    <t>893612770</t>
  </si>
  <si>
    <t>BV4501.2 .K564 1995</t>
  </si>
  <si>
    <t>0                      BV 4501200K  564         1995</t>
  </si>
  <si>
    <t>Dark night spirituality : Thomas Merton, Dietrich Bonhoeffer, Etty Hillesum : contemplation and the new paradigm / Peter King.</t>
  </si>
  <si>
    <t>King, Peter.</t>
  </si>
  <si>
    <t>London : SPCK, 1995.</t>
  </si>
  <si>
    <t>2007-07-16</t>
  </si>
  <si>
    <t>197292092:eng</t>
  </si>
  <si>
    <t>33950060</t>
  </si>
  <si>
    <t>991005018169702656</t>
  </si>
  <si>
    <t>2267036640002656</t>
  </si>
  <si>
    <t>9780281048847</t>
  </si>
  <si>
    <t>32285005319404</t>
  </si>
  <si>
    <t>893700924</t>
  </si>
  <si>
    <t>BV4501.2 .K57 1999</t>
  </si>
  <si>
    <t>0                      BV 4501200K  57          1999</t>
  </si>
  <si>
    <t>God hunger : discovering the mystic in all of us / John Kirvan.</t>
  </si>
  <si>
    <t>Kirvan, John J.</t>
  </si>
  <si>
    <t>Notre Dame, Ind. : Sorin Books, c1999.</t>
  </si>
  <si>
    <t>2008-02-01</t>
  </si>
  <si>
    <t>10143583659:eng</t>
  </si>
  <si>
    <t>42019239</t>
  </si>
  <si>
    <t>991003039829702656</t>
  </si>
  <si>
    <t>2270417070002656</t>
  </si>
  <si>
    <t>9781893732032</t>
  </si>
  <si>
    <t>32285003590303</t>
  </si>
  <si>
    <t>893342178</t>
  </si>
  <si>
    <t>BV4501.2 .L597 1984</t>
  </si>
  <si>
    <t>0                      BV 4501200L  597         1984</t>
  </si>
  <si>
    <t>Living with Apocalypse : spiritual resources for social compassion / edited by Tilden H. Edwards.</t>
  </si>
  <si>
    <t>3275960:eng</t>
  </si>
  <si>
    <t>10322823</t>
  </si>
  <si>
    <t>991000353629702656</t>
  </si>
  <si>
    <t>2266919120002656</t>
  </si>
  <si>
    <t>9780060621230</t>
  </si>
  <si>
    <t>32285000966704</t>
  </si>
  <si>
    <t>893527980</t>
  </si>
  <si>
    <t>BV4501.2 .L82 1991</t>
  </si>
  <si>
    <t>0                      BV 4501200L  82          1991</t>
  </si>
  <si>
    <t>In the eye of the storm / Max Lucado.</t>
  </si>
  <si>
    <t>Lucado, Max.</t>
  </si>
  <si>
    <t>Dallas : Word, c1991.</t>
  </si>
  <si>
    <t>2009-08-24</t>
  </si>
  <si>
    <t>2001-09-17</t>
  </si>
  <si>
    <t>1151561819:eng</t>
  </si>
  <si>
    <t>23901106</t>
  </si>
  <si>
    <t>991003626439702656</t>
  </si>
  <si>
    <t>2262086950002656</t>
  </si>
  <si>
    <t>9780849908903</t>
  </si>
  <si>
    <t>32285004391719</t>
  </si>
  <si>
    <t>893900191</t>
  </si>
  <si>
    <t>BV4501.2 .M22 1960</t>
  </si>
  <si>
    <t>0                      BV 4501200M  22          1960</t>
  </si>
  <si>
    <t>Putting faith to work / Robert J. McCracken.</t>
  </si>
  <si>
    <t>McCracken, Robert J. (Robert James), 1904-1973.</t>
  </si>
  <si>
    <t>New York : Harper &amp; Brothers, c1960.</t>
  </si>
  <si>
    <t>5577203:eng</t>
  </si>
  <si>
    <t>2586700</t>
  </si>
  <si>
    <t>991005261219702656</t>
  </si>
  <si>
    <t>2264012290002656</t>
  </si>
  <si>
    <t>32285005456677</t>
  </si>
  <si>
    <t>893625729</t>
  </si>
  <si>
    <t>BV4501.2 .M2358 1999</t>
  </si>
  <si>
    <t>0                      BV 4501200M  2358        1999</t>
  </si>
  <si>
    <t>The unknown God : searching for spiritual fulfillment / Alister McGrath.</t>
  </si>
  <si>
    <t>McGrath, Alister E., 1953-</t>
  </si>
  <si>
    <t>Grand Rapids, Mich. : Eerdmans Pub. Co., 1999.</t>
  </si>
  <si>
    <t>2010-04-24</t>
  </si>
  <si>
    <t>196821819:eng</t>
  </si>
  <si>
    <t>41115069</t>
  </si>
  <si>
    <t>991003019699702656</t>
  </si>
  <si>
    <t>2258269900002656</t>
  </si>
  <si>
    <t>9780802838643</t>
  </si>
  <si>
    <t>32285003619862</t>
  </si>
  <si>
    <t>893329861</t>
  </si>
  <si>
    <t>BV4501.2 .M35</t>
  </si>
  <si>
    <t>0                      BV 4501200M  35</t>
  </si>
  <si>
    <t>Inscape : God at the heart of matter / by George A. Maloney. --</t>
  </si>
  <si>
    <t>Denville, New Jersey : Dimension, c1978.</t>
  </si>
  <si>
    <t>2000-06-26</t>
  </si>
  <si>
    <t>787327602:eng</t>
  </si>
  <si>
    <t>25449516</t>
  </si>
  <si>
    <t>991004560649702656</t>
  </si>
  <si>
    <t>2265967450002656</t>
  </si>
  <si>
    <t>32285000966720</t>
  </si>
  <si>
    <t>893532539</t>
  </si>
  <si>
    <t>BV4501.2 .M418 1993</t>
  </si>
  <si>
    <t>0                      BV 4501200M  418         1993</t>
  </si>
  <si>
    <t>The awakened heart : opening yourself to the love you need / Gerald G. May.</t>
  </si>
  <si>
    <t>May, Gerald G.</t>
  </si>
  <si>
    <t>[San Francisco, Calif.] : HarperSanFrancisco, 1993.</t>
  </si>
  <si>
    <t>2008-07-11</t>
  </si>
  <si>
    <t>29237569:eng</t>
  </si>
  <si>
    <t>26588538</t>
  </si>
  <si>
    <t>991003854409702656</t>
  </si>
  <si>
    <t>2266091690002656</t>
  </si>
  <si>
    <t>9780060654733</t>
  </si>
  <si>
    <t>32285004642780</t>
  </si>
  <si>
    <t>893416881</t>
  </si>
  <si>
    <t>BV4501.2 .M42</t>
  </si>
  <si>
    <t>0                      BV 4501200M  42</t>
  </si>
  <si>
    <t>Pilgrimage home : the conduct of contemplative practice in groups / Gerald G. May.</t>
  </si>
  <si>
    <t>2003-09-08</t>
  </si>
  <si>
    <t>466162:eng</t>
  </si>
  <si>
    <t>5103216</t>
  </si>
  <si>
    <t>991004780029702656</t>
  </si>
  <si>
    <t>2270647610002656</t>
  </si>
  <si>
    <t>9780809121434</t>
  </si>
  <si>
    <t>32285000966753</t>
  </si>
  <si>
    <t>893254086</t>
  </si>
  <si>
    <t>BV4501.2 .M478 1973</t>
  </si>
  <si>
    <t>0                      BV 4501200M  478         1973</t>
  </si>
  <si>
    <t>The becomers / Keith Miller.</t>
  </si>
  <si>
    <t>Miller, Keith.</t>
  </si>
  <si>
    <t>Waco, Tex. : Word Books, [1973]</t>
  </si>
  <si>
    <t>1994-09-19</t>
  </si>
  <si>
    <t>1707402:eng</t>
  </si>
  <si>
    <t>672029</t>
  </si>
  <si>
    <t>991003128639702656</t>
  </si>
  <si>
    <t>2267892180002656</t>
  </si>
  <si>
    <t>32285000966761</t>
  </si>
  <si>
    <t>893348363</t>
  </si>
  <si>
    <t>BV4501.2 .M553 1987</t>
  </si>
  <si>
    <t>0                      BV 4501200M  553         1987</t>
  </si>
  <si>
    <t>Godding : human responsibility and the Bible / Virginia Ramey Mollenkott.</t>
  </si>
  <si>
    <t>Mollenkott, Virginia R.</t>
  </si>
  <si>
    <t>New York : Crossroad, 1987.</t>
  </si>
  <si>
    <t>1993-11-10</t>
  </si>
  <si>
    <t>1991-03-06</t>
  </si>
  <si>
    <t>8166928:eng</t>
  </si>
  <si>
    <t>14904007</t>
  </si>
  <si>
    <t>991000963679702656</t>
  </si>
  <si>
    <t>2266841960002656</t>
  </si>
  <si>
    <t>9780824508241</t>
  </si>
  <si>
    <t>32285000535111</t>
  </si>
  <si>
    <t>893865836</t>
  </si>
  <si>
    <t>BV4501.2 .M6 1985</t>
  </si>
  <si>
    <t>0                      BV 4501200M  6           1985</t>
  </si>
  <si>
    <t>Modern spirituality : an anthology / edited by John Garvey.</t>
  </si>
  <si>
    <t>Springfield, Ill. : Templegate Publishers, 1985.</t>
  </si>
  <si>
    <t>2001-06-12</t>
  </si>
  <si>
    <t>836625410:eng</t>
  </si>
  <si>
    <t>11702886</t>
  </si>
  <si>
    <t>991000577429702656</t>
  </si>
  <si>
    <t>2264979830002656</t>
  </si>
  <si>
    <t>9780872431324</t>
  </si>
  <si>
    <t>32285000966779</t>
  </si>
  <si>
    <t>893333594</t>
  </si>
  <si>
    <t>BV4501.2 .M76 1982</t>
  </si>
  <si>
    <t>0                      BV 4501200M  76          1982</t>
  </si>
  <si>
    <t>New Genesis : shaping a global spirituality / Robert Muller.</t>
  </si>
  <si>
    <t>Muller, Robert.</t>
  </si>
  <si>
    <t>Garden City, N.Y. : Doubleday, 1982.</t>
  </si>
  <si>
    <t>1998-05-27</t>
  </si>
  <si>
    <t>1992-02-27</t>
  </si>
  <si>
    <t>2795469:eng</t>
  </si>
  <si>
    <t>8221196</t>
  </si>
  <si>
    <t>991005220039702656</t>
  </si>
  <si>
    <t>2268709890002656</t>
  </si>
  <si>
    <t>9780385181235</t>
  </si>
  <si>
    <t>32285000966795</t>
  </si>
  <si>
    <t>893719999</t>
  </si>
  <si>
    <t>BV4501.2 .M86 1974</t>
  </si>
  <si>
    <t>0                      BV 4501200M  86          1974</t>
  </si>
  <si>
    <t>Abide in Christ : thoughts on the blessed life of fellowship with the Son of God / Andrew Murray.</t>
  </si>
  <si>
    <t>Murray, Andrew, 1828-1917.</t>
  </si>
  <si>
    <t>Fort Washington, Pa. : Christian Literature Crusade, 1974</t>
  </si>
  <si>
    <t>1st American ed.</t>
  </si>
  <si>
    <t>3927301242:eng</t>
  </si>
  <si>
    <t>28552535</t>
  </si>
  <si>
    <t>991004920409702656</t>
  </si>
  <si>
    <t>2269722300002656</t>
  </si>
  <si>
    <t>9780875083704</t>
  </si>
  <si>
    <t>32285005223721</t>
  </si>
  <si>
    <t>893332175</t>
  </si>
  <si>
    <t>BV4501.2 .N63 1998</t>
  </si>
  <si>
    <t>0                      BV 4501200N  63          1998</t>
  </si>
  <si>
    <t>Amazing grace : a vocabulary of faith / Kathleen Norris.</t>
  </si>
  <si>
    <t>Norris, Kathleen, 1947-</t>
  </si>
  <si>
    <t>New York : Riverhead Books, 1998.</t>
  </si>
  <si>
    <t>685507:eng</t>
  </si>
  <si>
    <t>37935174</t>
  </si>
  <si>
    <t>991002878809702656</t>
  </si>
  <si>
    <t>2266206950002656</t>
  </si>
  <si>
    <t>9781573220781</t>
  </si>
  <si>
    <t>32285003421020</t>
  </si>
  <si>
    <t>893717032</t>
  </si>
  <si>
    <t>BV4501.2 .P323 1983</t>
  </si>
  <si>
    <t>0                      BV 4501200P  323         1983</t>
  </si>
  <si>
    <t>Christian spirituality / Wolfhart Pannenberg.</t>
  </si>
  <si>
    <t>Pannenberg, Wolfhart, 1928-2014.</t>
  </si>
  <si>
    <t>Philadelphia : Westminster Press, c1983.</t>
  </si>
  <si>
    <t>2006-05-03</t>
  </si>
  <si>
    <t>138101082:eng</t>
  </si>
  <si>
    <t>9970527</t>
  </si>
  <si>
    <t>991000292609702656</t>
  </si>
  <si>
    <t>2254914470002656</t>
  </si>
  <si>
    <t>9780664244958</t>
  </si>
  <si>
    <t>32285000966829</t>
  </si>
  <si>
    <t>893890562</t>
  </si>
  <si>
    <t>BV4501.2 .P3232 1984</t>
  </si>
  <si>
    <t>0                      BV 4501200P  3232        1984</t>
  </si>
  <si>
    <t>Christian spirituality and sacramental community / Wolfhart Pannenberg.</t>
  </si>
  <si>
    <t>London : Darton, Longman and Todd, 1984, c1983.</t>
  </si>
  <si>
    <t>2009-04-20</t>
  </si>
  <si>
    <t>11474806</t>
  </si>
  <si>
    <t>991000540329702656</t>
  </si>
  <si>
    <t>2267043620002656</t>
  </si>
  <si>
    <t>9780232516197</t>
  </si>
  <si>
    <t>32285000966837</t>
  </si>
  <si>
    <t>893784313</t>
  </si>
  <si>
    <t>BV4501.2 .P552 1985</t>
  </si>
  <si>
    <t>0                      BV 4501200P  552         1985</t>
  </si>
  <si>
    <t>Wellness spirituality / John J. Pilch.</t>
  </si>
  <si>
    <t>Pilch, John J.</t>
  </si>
  <si>
    <t>2008-07-23</t>
  </si>
  <si>
    <t>4536963:eng</t>
  </si>
  <si>
    <t>11973241</t>
  </si>
  <si>
    <t>991004528899702656</t>
  </si>
  <si>
    <t>2256190000002656</t>
  </si>
  <si>
    <t>9780824507107</t>
  </si>
  <si>
    <t>32285005030555</t>
  </si>
  <si>
    <t>893532506</t>
  </si>
  <si>
    <t>BV4501.2 .P5547</t>
  </si>
  <si>
    <t>0                      BV 4501200P  5547</t>
  </si>
  <si>
    <t>Life in Christ / by Norman Pittenger.</t>
  </si>
  <si>
    <t>Pittenger, W. Norman (William Norman), 1905-1997.</t>
  </si>
  <si>
    <t>Grand Rapids : Eerdmans, [1972]</t>
  </si>
  <si>
    <t>1997-04-14</t>
  </si>
  <si>
    <t>1992-03-06</t>
  </si>
  <si>
    <t>9146606062:eng</t>
  </si>
  <si>
    <t>481370</t>
  </si>
  <si>
    <t>991002839639702656</t>
  </si>
  <si>
    <t>2269571800002656</t>
  </si>
  <si>
    <t>9780802814548</t>
  </si>
  <si>
    <t>32285000938489</t>
  </si>
  <si>
    <t>893591847</t>
  </si>
  <si>
    <t>BV4501.2 .P64 1997</t>
  </si>
  <si>
    <t>0                      BV 4501200P  64          1997</t>
  </si>
  <si>
    <t>Practicing our faith : a way of life for a searching people / Dorothy C. Bass, editor ... [et al.].</t>
  </si>
  <si>
    <t>San Francisco : Jossey-Bass, c1997.</t>
  </si>
  <si>
    <t>2005-04-28</t>
  </si>
  <si>
    <t>797282542:eng</t>
  </si>
  <si>
    <t>38587028</t>
  </si>
  <si>
    <t>991004517319702656</t>
  </si>
  <si>
    <t>2260413170002656</t>
  </si>
  <si>
    <t>9780787938833</t>
  </si>
  <si>
    <t>32285005034045</t>
  </si>
  <si>
    <t>893343933</t>
  </si>
  <si>
    <t>BV4501.2 .R44</t>
  </si>
  <si>
    <t>0                      BV 4501200R  44</t>
  </si>
  <si>
    <t>Research on religious development : a comprehensive handbook. A project of the Religious Education Association / edited by Merton P. Strommen.</t>
  </si>
  <si>
    <t>Strommen, Merton P.</t>
  </si>
  <si>
    <t>New York, Hawthorn Books [1971]</t>
  </si>
  <si>
    <t>1995-02-23</t>
  </si>
  <si>
    <t>1176904:eng</t>
  </si>
  <si>
    <t>152762</t>
  </si>
  <si>
    <t>991000885399702656</t>
  </si>
  <si>
    <t>2271793200002656</t>
  </si>
  <si>
    <t>32285000099258</t>
  </si>
  <si>
    <t>893327675</t>
  </si>
  <si>
    <t>BV4501.2 .R5 1987</t>
  </si>
  <si>
    <t>0                      BV 4501200R  5           1987</t>
  </si>
  <si>
    <t>Drawn to the divine : a spirituality of revelation / William E. Reiser.</t>
  </si>
  <si>
    <t>Reiser, William E.</t>
  </si>
  <si>
    <t>Notre Dame, Ind. : Ave Maria Press, c1987.</t>
  </si>
  <si>
    <t>1990-05-25</t>
  </si>
  <si>
    <t>13976101:eng</t>
  </si>
  <si>
    <t>16940431</t>
  </si>
  <si>
    <t>991001168839702656</t>
  </si>
  <si>
    <t>2272719500002656</t>
  </si>
  <si>
    <t>32285000167063</t>
  </si>
  <si>
    <t>893878680</t>
  </si>
  <si>
    <t>BV4501.2 .R617</t>
  </si>
  <si>
    <t>0                      BV 4501200R  617</t>
  </si>
  <si>
    <t>The difference in being a Christian today / by John A. T. Robinson.</t>
  </si>
  <si>
    <t>Robinson, John A. T. (John Arthur Thomas), 1919-1983.</t>
  </si>
  <si>
    <t>Philadelphia, Westminster Press [1972]</t>
  </si>
  <si>
    <t>1993-09-29</t>
  </si>
  <si>
    <t>20999464:eng</t>
  </si>
  <si>
    <t>286869</t>
  </si>
  <si>
    <t>991002207989702656</t>
  </si>
  <si>
    <t>2260888890002656</t>
  </si>
  <si>
    <t>9780664249540</t>
  </si>
  <si>
    <t>32285000966860</t>
  </si>
  <si>
    <t>893421054</t>
  </si>
  <si>
    <t>BV4501.2 .S877 1998</t>
  </si>
  <si>
    <t>0                      BV 4501200S  877         1998</t>
  </si>
  <si>
    <t>A cup of coffee at the soul cafe / Leonard Sweet ; with Denise Marie Siino.</t>
  </si>
  <si>
    <t>Sweet, Leonard I.</t>
  </si>
  <si>
    <t>Nashville : Broadman &amp; Holman Publishers, c1998.</t>
  </si>
  <si>
    <t>614378:eng</t>
  </si>
  <si>
    <t>38120651</t>
  </si>
  <si>
    <t>991004264149702656</t>
  </si>
  <si>
    <t>2265348620002656</t>
  </si>
  <si>
    <t>9780805401592</t>
  </si>
  <si>
    <t>32285004894985</t>
  </si>
  <si>
    <t>893241215</t>
  </si>
  <si>
    <t>BV4501.2 .T274 1999</t>
  </si>
  <si>
    <t>0                      BV 4501200T  274         1999</t>
  </si>
  <si>
    <t>The myth of certainty : the reflective Christian &amp; the risk of commitment / Daniel Taylor.</t>
  </si>
  <si>
    <t>Taylor, Daniel, 1948-</t>
  </si>
  <si>
    <t>Downers Grove, Ill. : InterVarsity Press, [1999], c1992.</t>
  </si>
  <si>
    <t>2009-01-16</t>
  </si>
  <si>
    <t>2008-12-17</t>
  </si>
  <si>
    <t>1020767564:eng</t>
  </si>
  <si>
    <t>42682685</t>
  </si>
  <si>
    <t>991005285299702656</t>
  </si>
  <si>
    <t>2260718750002656</t>
  </si>
  <si>
    <t>9780830822379</t>
  </si>
  <si>
    <t>32285005474316</t>
  </si>
  <si>
    <t>893607141</t>
  </si>
  <si>
    <t>BV4501.2 .T4</t>
  </si>
  <si>
    <t>0                      BV 4501200T  4</t>
  </si>
  <si>
    <t>English spirituality : an outline of ascetical theology according to the English pastoral tradition / by Martin Thornton.</t>
  </si>
  <si>
    <t>Thornton, Martin.</t>
  </si>
  <si>
    <t>London : S.P.C.K., 1963.</t>
  </si>
  <si>
    <t>2008-03-06</t>
  </si>
  <si>
    <t>1352993:eng</t>
  </si>
  <si>
    <t>255727</t>
  </si>
  <si>
    <t>991002001229702656</t>
  </si>
  <si>
    <t>2272343440002656</t>
  </si>
  <si>
    <t>32285000966894</t>
  </si>
  <si>
    <t>893334815</t>
  </si>
  <si>
    <t>BV4501.2 .U538</t>
  </si>
  <si>
    <t>0                      BV 4501200U  538</t>
  </si>
  <si>
    <t>The role of the Christian family in the modern world : for the use of the episcopal conferences /</t>
  </si>
  <si>
    <t>United States Catholic Conference.</t>
  </si>
  <si>
    <t>Washington, D.C. : Publications Office, United States Catholic Conference, 1979.</t>
  </si>
  <si>
    <t>3770085970:eng</t>
  </si>
  <si>
    <t>6029039</t>
  </si>
  <si>
    <t>991004918129702656</t>
  </si>
  <si>
    <t>2270842270002656</t>
  </si>
  <si>
    <t>32285000966910</t>
  </si>
  <si>
    <t>893870248</t>
  </si>
  <si>
    <t>BV4501.2 .V345 1994</t>
  </si>
  <si>
    <t>0                      BV 4501200V  345         1994</t>
  </si>
  <si>
    <t>Why good people do bad things / Gerard Vanderhaar.</t>
  </si>
  <si>
    <t>Vanderhaar, Gerard A.</t>
  </si>
  <si>
    <t>Mystic, Conn. : Twenty-Third Publications, c1994.</t>
  </si>
  <si>
    <t>1994-12-13</t>
  </si>
  <si>
    <t>3943736115:eng</t>
  </si>
  <si>
    <t>29420687</t>
  </si>
  <si>
    <t>991002267179702656</t>
  </si>
  <si>
    <t>2269306240002656</t>
  </si>
  <si>
    <t>9780896225718</t>
  </si>
  <si>
    <t>32285001976926</t>
  </si>
  <si>
    <t>893597220</t>
  </si>
  <si>
    <t>BV4501.2 .V36 1974</t>
  </si>
  <si>
    <t>0                      BV 4501200V  36          1974</t>
  </si>
  <si>
    <t>Spirituality and the gentle life.</t>
  </si>
  <si>
    <t>Van Kaam, Adrian L., 1920-2007.</t>
  </si>
  <si>
    <t>Denville, N.J. : Dimension Books, Inc., 1974.</t>
  </si>
  <si>
    <t>2002-07-28</t>
  </si>
  <si>
    <t>1980298:eng</t>
  </si>
  <si>
    <t>1105980</t>
  </si>
  <si>
    <t>991003541469702656</t>
  </si>
  <si>
    <t>2258780870002656</t>
  </si>
  <si>
    <t>32285000966928</t>
  </si>
  <si>
    <t>893512063</t>
  </si>
  <si>
    <t>BV4501.2 .V39 1970</t>
  </si>
  <si>
    <t>0                      BV 4501200V  39          1970</t>
  </si>
  <si>
    <t>The current of spirituality.</t>
  </si>
  <si>
    <t>Springfield, Ill. : Templegate, [1970]</t>
  </si>
  <si>
    <t>2008-04-06</t>
  </si>
  <si>
    <t>1570936:eng</t>
  </si>
  <si>
    <t>486194</t>
  </si>
  <si>
    <t>991002849939702656</t>
  </si>
  <si>
    <t>2256665640002656</t>
  </si>
  <si>
    <t>32285000966936</t>
  </si>
  <si>
    <t>893434368</t>
  </si>
  <si>
    <t>BV4501.2 .W435 1979</t>
  </si>
  <si>
    <t>0                      BV 4501200W  435         1979</t>
  </si>
  <si>
    <t>Western spirituality : historical roots, ecumenical routes / edited by Matthew Fox.</t>
  </si>
  <si>
    <t>Notre Dame, Ind. : Fides/Claretian, c1979.</t>
  </si>
  <si>
    <t>898805700:eng</t>
  </si>
  <si>
    <t>5264670</t>
  </si>
  <si>
    <t>991005325799702656</t>
  </si>
  <si>
    <t>2259082400002656</t>
  </si>
  <si>
    <t>9780819006356</t>
  </si>
  <si>
    <t>32285005537500</t>
  </si>
  <si>
    <t>893326563</t>
  </si>
  <si>
    <t>BV4501.2 .W47</t>
  </si>
  <si>
    <t>0                      BV 4501200W  47</t>
  </si>
  <si>
    <t>Christian life patterns : the psychological challenges and religious invitations of adult life / Evelyn Eaton Whitehead and James D. Whitehead.</t>
  </si>
  <si>
    <t>Whitehead, Evelyn Eaton.</t>
  </si>
  <si>
    <t>Garden City, N.Y. : Doubleday, 1979.</t>
  </si>
  <si>
    <t>1995-07-09</t>
  </si>
  <si>
    <t>15071361:eng</t>
  </si>
  <si>
    <t>4835230</t>
  </si>
  <si>
    <t>991004731939702656</t>
  </si>
  <si>
    <t>2265252580002656</t>
  </si>
  <si>
    <t>9780385151306</t>
  </si>
  <si>
    <t>32285000217041</t>
  </si>
  <si>
    <t>893895410</t>
  </si>
  <si>
    <t>BV4501.2 .W473 1984</t>
  </si>
  <si>
    <t>0                      BV 4501200W  473         1984</t>
  </si>
  <si>
    <t>Seasons of strength : new visions of adult Christian maturing / by Evelyn Eaton Whitehead and James D. Whitehead.</t>
  </si>
  <si>
    <t>Garden City, N.Y. : Doubleday, 1984.</t>
  </si>
  <si>
    <t>2876816:eng</t>
  </si>
  <si>
    <t>10558022</t>
  </si>
  <si>
    <t>991003852679702656</t>
  </si>
  <si>
    <t>2272531420002656</t>
  </si>
  <si>
    <t>9780385196352</t>
  </si>
  <si>
    <t>32285004642277</t>
  </si>
  <si>
    <t>893627814</t>
  </si>
  <si>
    <t>BV4501.2 .W53 2000</t>
  </si>
  <si>
    <t>0                      BV 4501200W  53          2000</t>
  </si>
  <si>
    <t>Everyday simplicity : a practical guide to spiritual growth / Robert J. Wicks.</t>
  </si>
  <si>
    <t>Wicks, Robert J.</t>
  </si>
  <si>
    <t>Notre Dame, Ind. : Sorin Books, c2000.</t>
  </si>
  <si>
    <t>2004-06-21</t>
  </si>
  <si>
    <t>2000-03-21</t>
  </si>
  <si>
    <t>2551590810:eng</t>
  </si>
  <si>
    <t>43442596</t>
  </si>
  <si>
    <t>991003053309702656</t>
  </si>
  <si>
    <t>2270587930002656</t>
  </si>
  <si>
    <t>9781893732124</t>
  </si>
  <si>
    <t>32285003672994</t>
  </si>
  <si>
    <t>893251980</t>
  </si>
  <si>
    <t>BV4501.2.M37 P7</t>
  </si>
  <si>
    <t>0                      BV 4501200M  37                 P  7</t>
  </si>
  <si>
    <t>Protestants and Catholics on the Spiritual Life / edited by Michael Marx, O.S.B.</t>
  </si>
  <si>
    <t>Marx, Michael, 1913-1993, editor.</t>
  </si>
  <si>
    <t>Collegeville, Minnesota The Liturgical Press [1965]</t>
  </si>
  <si>
    <t>1994-06-29</t>
  </si>
  <si>
    <t>20748752:eng</t>
  </si>
  <si>
    <t>5972324</t>
  </si>
  <si>
    <t>991004908579702656</t>
  </si>
  <si>
    <t>2265948810002656</t>
  </si>
  <si>
    <t>32285000966746</t>
  </si>
  <si>
    <t>893700810</t>
  </si>
  <si>
    <t>BV4501.3 .J66 2001</t>
  </si>
  <si>
    <t>0                      BV 4501300J  66          2001</t>
  </si>
  <si>
    <t>Rufus Jones : essential writings / Rufus Jones ; selected with an introduction by Kerry Walters.</t>
  </si>
  <si>
    <t>Jones, Rufus M. (Rufus Matthew), 1863-1948.</t>
  </si>
  <si>
    <t>Maryknoll, N.Y. : Orbis Books, 2001.</t>
  </si>
  <si>
    <t>Modern spiritual masters series</t>
  </si>
  <si>
    <t>2006-11-29</t>
  </si>
  <si>
    <t>1059219901:eng</t>
  </si>
  <si>
    <t>47443978</t>
  </si>
  <si>
    <t>991004950729702656</t>
  </si>
  <si>
    <t>2257005870002656</t>
  </si>
  <si>
    <t>9781570753800</t>
  </si>
  <si>
    <t>32285005263115</t>
  </si>
  <si>
    <t>893801531</t>
  </si>
  <si>
    <t>BV4501.3 .P475 2005</t>
  </si>
  <si>
    <t>0                      BV 4501300P  475         2005</t>
  </si>
  <si>
    <t>Christ plays in ten thousand places : a conversation in spiritual theology / Eugene H. Peterson.</t>
  </si>
  <si>
    <t>Peterson, Eugene H., 1932-2018.</t>
  </si>
  <si>
    <t>Grand Rapids, Mich. : W.B. Eerdmans, c2005.</t>
  </si>
  <si>
    <t>2009-07-20</t>
  </si>
  <si>
    <t>2006-02-03</t>
  </si>
  <si>
    <t>175008:eng</t>
  </si>
  <si>
    <t>56598605</t>
  </si>
  <si>
    <t>991004708789702656</t>
  </si>
  <si>
    <t>2262005720002656</t>
  </si>
  <si>
    <t>9780802828750</t>
  </si>
  <si>
    <t>32285005156855</t>
  </si>
  <si>
    <t>893618983</t>
  </si>
  <si>
    <t>BV4501.3 .R535 2005</t>
  </si>
  <si>
    <t>0                      BV 4501300R  535         2005</t>
  </si>
  <si>
    <t>So much more : an invitation to Christian spirituality / Debra Rienstra.</t>
  </si>
  <si>
    <t>Rienstra, Debra.</t>
  </si>
  <si>
    <t>San Francisco : Jossey-Bass, c2005.</t>
  </si>
  <si>
    <t>2007-07-29</t>
  </si>
  <si>
    <t>2006-04-24</t>
  </si>
  <si>
    <t>18179425:eng</t>
  </si>
  <si>
    <t>56840496</t>
  </si>
  <si>
    <t>991004781299702656</t>
  </si>
  <si>
    <t>2256156490002656</t>
  </si>
  <si>
    <t>9780787968878</t>
  </si>
  <si>
    <t>32285005182398</t>
  </si>
  <si>
    <t>893606470</t>
  </si>
  <si>
    <t>BV4501.3 .S74 2001</t>
  </si>
  <si>
    <t>0                      BV 4501300S  74          2001</t>
  </si>
  <si>
    <t>The God instinct : heeding your heart's unrest / Tom Stella.</t>
  </si>
  <si>
    <t>Stella, Tom.</t>
  </si>
  <si>
    <t>Notre Dame, Ind. : Sorin Books, 2001.</t>
  </si>
  <si>
    <t>2001-11-05</t>
  </si>
  <si>
    <t>36496932:eng</t>
  </si>
  <si>
    <t>47092355</t>
  </si>
  <si>
    <t>991003668549702656</t>
  </si>
  <si>
    <t>2269664140002656</t>
  </si>
  <si>
    <t>9781893732322</t>
  </si>
  <si>
    <t>32285004417878</t>
  </si>
  <si>
    <t>893330635</t>
  </si>
  <si>
    <t>BV4501.3 .W53 2001</t>
  </si>
  <si>
    <t>0                      BV 4501300W  53          2001</t>
  </si>
  <si>
    <t>Snow falling on snow : themes from the spiritual landscape of Robert J. Wicks / Robert J. Wicks.</t>
  </si>
  <si>
    <t>New York : Paulist Press, c2001.</t>
  </si>
  <si>
    <t>2002-04-16</t>
  </si>
  <si>
    <t>2002-04-01</t>
  </si>
  <si>
    <t>2755365:eng</t>
  </si>
  <si>
    <t>45283095</t>
  </si>
  <si>
    <t>991003762959702656</t>
  </si>
  <si>
    <t>2271960020002656</t>
  </si>
  <si>
    <t>9780809105311</t>
  </si>
  <si>
    <t>32285004475397</t>
  </si>
  <si>
    <t>893228431</t>
  </si>
  <si>
    <t>BV4501.3 .W5427 2005</t>
  </si>
  <si>
    <t>0                      BV 4501300W  5427        2005</t>
  </si>
  <si>
    <t>Wilderness : essays in honour of Frances Young / edited by R.S. Sugirtharajah.</t>
  </si>
  <si>
    <t>London ; New York : T &amp; T Clark International, c2005.</t>
  </si>
  <si>
    <t>Library of New Testament studies ; 295</t>
  </si>
  <si>
    <t>2006-02-13</t>
  </si>
  <si>
    <t>366770920:eng</t>
  </si>
  <si>
    <t>58478380</t>
  </si>
  <si>
    <t>991004739069702656</t>
  </si>
  <si>
    <t>2261594100002656</t>
  </si>
  <si>
    <t>9780567041425</t>
  </si>
  <si>
    <t>32285005158349</t>
  </si>
  <si>
    <t>893417963</t>
  </si>
  <si>
    <t>BV4501.3 .Y363 2003</t>
  </si>
  <si>
    <t>0                      BV 4501300Y  363         2003</t>
  </si>
  <si>
    <t>Rumors of another world : what on earth are we missing? / Philip Yancey.</t>
  </si>
  <si>
    <t>Yancey, Philip.</t>
  </si>
  <si>
    <t>Grand Rapids, Mich. : Zondervan, c2003.</t>
  </si>
  <si>
    <t>2003-10-15</t>
  </si>
  <si>
    <t>2003-09-22</t>
  </si>
  <si>
    <t>1152220773:eng</t>
  </si>
  <si>
    <t>52458839</t>
  </si>
  <si>
    <t>991004119019702656</t>
  </si>
  <si>
    <t>2270265520002656</t>
  </si>
  <si>
    <t>9780310252177</t>
  </si>
  <si>
    <t>32285004784095</t>
  </si>
  <si>
    <t>893810363</t>
  </si>
  <si>
    <t>BV4503 .M7613</t>
  </si>
  <si>
    <t>0                      BV 4503000M  7613</t>
  </si>
  <si>
    <t>A charismatic theology : initiation in the spirit / [by] Heribert Mühlen ; [translated from the German by Edward Quinn and Thomas Linton].</t>
  </si>
  <si>
    <t>Mühlen, Heribert.</t>
  </si>
  <si>
    <t>London : Burns &amp; Oates ; New York : Paulist Press, 1978.</t>
  </si>
  <si>
    <t>2010-09-02</t>
  </si>
  <si>
    <t>1992-02-28</t>
  </si>
  <si>
    <t>3769474489:eng</t>
  </si>
  <si>
    <t>4569769</t>
  </si>
  <si>
    <t>991004680969702656</t>
  </si>
  <si>
    <t>2257129470002656</t>
  </si>
  <si>
    <t>9780809121014</t>
  </si>
  <si>
    <t>32285000967017</t>
  </si>
  <si>
    <t>893882791</t>
  </si>
  <si>
    <t>BV4505.K442 W35</t>
  </si>
  <si>
    <t>0                      BV 4505000K  442                W  35</t>
  </si>
  <si>
    <t>To will one thing : reflections on Kierkegaard's Purity of heart / by Jeremy D. B. Walker.</t>
  </si>
  <si>
    <t>Walker, Jeremy D. B.</t>
  </si>
  <si>
    <t>Montreal : McGill-Queen's University Press, [1972]</t>
  </si>
  <si>
    <t>quc</t>
  </si>
  <si>
    <t>1993-04-17</t>
  </si>
  <si>
    <t>181270749:eng</t>
  </si>
  <si>
    <t>589057</t>
  </si>
  <si>
    <t>991003024779702656</t>
  </si>
  <si>
    <t>2259290870002656</t>
  </si>
  <si>
    <t>9780773500846</t>
  </si>
  <si>
    <t>32285000967025</t>
  </si>
  <si>
    <t>893809790</t>
  </si>
  <si>
    <t>BV4509.5 .A9 1968</t>
  </si>
  <si>
    <t>0                      BV 4509500A  9           1968</t>
  </si>
  <si>
    <t>Christian spirituality East &amp; West / [by] Jordan Aumann, Thomas Hopko [and] Donald G. Bloesch.</t>
  </si>
  <si>
    <t>Aumann, Jordan.</t>
  </si>
  <si>
    <t>Chicago : Priory Press, [1968]</t>
  </si>
  <si>
    <t>Institute of Spirituality. Special lectures, v. 3, 1967</t>
  </si>
  <si>
    <t>1999-08-11</t>
  </si>
  <si>
    <t>498499367:eng</t>
  </si>
  <si>
    <t>449434</t>
  </si>
  <si>
    <t>991002805709702656</t>
  </si>
  <si>
    <t>2265396530002656</t>
  </si>
  <si>
    <t>32285000967074</t>
  </si>
  <si>
    <t>893899259</t>
  </si>
  <si>
    <t>BV4509.5 .F38 1987</t>
  </si>
  <si>
    <t>0                      BV 4509500F  38          1987</t>
  </si>
  <si>
    <t>Personality and spiritual freedom / Robert and Carol Ann Faucett ; foreword by David Geraets.</t>
  </si>
  <si>
    <t>Faucett, Robert, 1943-</t>
  </si>
  <si>
    <t>New York : Image Books, 1987.</t>
  </si>
  <si>
    <t>9090806090:eng</t>
  </si>
  <si>
    <t>15317948</t>
  </si>
  <si>
    <t>991004528539702656</t>
  </si>
  <si>
    <t>2259221110002656</t>
  </si>
  <si>
    <t>9780385242592</t>
  </si>
  <si>
    <t>32285005030464</t>
  </si>
  <si>
    <t>893513348</t>
  </si>
  <si>
    <t>BV4509.5 .K56 1988</t>
  </si>
  <si>
    <t>0                      BV 4509500K  56          1988</t>
  </si>
  <si>
    <t>Let the Spirit fly : how to save the Christian church from apostasy / by John Kloster.</t>
  </si>
  <si>
    <t>Kloster, John.</t>
  </si>
  <si>
    <t>Edmonton, Alberta : Publications Unlimited, 1988.</t>
  </si>
  <si>
    <t xml:space="preserve">cx </t>
  </si>
  <si>
    <t>1994-11-30</t>
  </si>
  <si>
    <t>1993-01-05</t>
  </si>
  <si>
    <t>5159974440:eng</t>
  </si>
  <si>
    <t>23722601</t>
  </si>
  <si>
    <t>991001879949702656</t>
  </si>
  <si>
    <t>2271426200002656</t>
  </si>
  <si>
    <t>9781895179002</t>
  </si>
  <si>
    <t>32285001466886</t>
  </si>
  <si>
    <t>893238405</t>
  </si>
  <si>
    <t>BV4509.5 .V45 2003</t>
  </si>
  <si>
    <t>0                      BV 4509500V  45          2003</t>
  </si>
  <si>
    <t>Loving God with all your mind : thinking as a Christian in the postmodern world / Gene Edward Veith.</t>
  </si>
  <si>
    <t>Veith, Gene Edward, Jr., 1951-</t>
  </si>
  <si>
    <t>Wheaton, Ill. : Crossway Books, c2003.</t>
  </si>
  <si>
    <t>2006-03-07</t>
  </si>
  <si>
    <t>2287056875:eng</t>
  </si>
  <si>
    <t>52799744</t>
  </si>
  <si>
    <t>991004741209702656</t>
  </si>
  <si>
    <t>2261858540002656</t>
  </si>
  <si>
    <t>9781581345124</t>
  </si>
  <si>
    <t>32285005163117</t>
  </si>
  <si>
    <t>893536187</t>
  </si>
  <si>
    <t>BV4509.5 .W355 2002</t>
  </si>
  <si>
    <t>0                      BV 4509500W  355         2002</t>
  </si>
  <si>
    <t>Finding the will of God : a pagan notion? / Bruce Waltke.</t>
  </si>
  <si>
    <t>Waltke, Bruce K.</t>
  </si>
  <si>
    <t>Grand Rapids, Mich. : W.B. Eerdmans, 2002.</t>
  </si>
  <si>
    <t>34828993:eng</t>
  </si>
  <si>
    <t>48649263</t>
  </si>
  <si>
    <t>991004780679702656</t>
  </si>
  <si>
    <t>2255907800002656</t>
  </si>
  <si>
    <t>9780802839749</t>
  </si>
  <si>
    <t>32285005188619</t>
  </si>
  <si>
    <t>893536203</t>
  </si>
  <si>
    <t>BV4509.C8 C613 1998</t>
  </si>
  <si>
    <t>0                      BV 4509000C  8                  C  613         1998</t>
  </si>
  <si>
    <t>The labyrinth of the world and the paradise of the heart / John Comenius ; translated and introduced by Howard Louthan and Andrea Sterk ; preface by Jan Milič Lochman.</t>
  </si>
  <si>
    <t>Comenius, Johann Amos, 1592-1670.</t>
  </si>
  <si>
    <t>New York : Paulist Press, c1998.</t>
  </si>
  <si>
    <t>Classics of Western spirituality</t>
  </si>
  <si>
    <t>2006-06-19</t>
  </si>
  <si>
    <t>4916419914:eng</t>
  </si>
  <si>
    <t>36798986</t>
  </si>
  <si>
    <t>991002801259702656</t>
  </si>
  <si>
    <t>2256842250002656</t>
  </si>
  <si>
    <t>9780809104895</t>
  </si>
  <si>
    <t>32285003384251</t>
  </si>
  <si>
    <t>893886743</t>
  </si>
  <si>
    <t>BV4510.2 .S665 1993</t>
  </si>
  <si>
    <t>0                      BV 4510200S  665         1993</t>
  </si>
  <si>
    <t>Spirituality in ecumenical perspective / E. Glenn Hinson, editor.</t>
  </si>
  <si>
    <t>Louisville, Ky. : Westminster/John Knox Press, c1993.</t>
  </si>
  <si>
    <t>2008-04-12</t>
  </si>
  <si>
    <t>1994-09-07</t>
  </si>
  <si>
    <t>892227103:eng</t>
  </si>
  <si>
    <t>28027435</t>
  </si>
  <si>
    <t>991002178019702656</t>
  </si>
  <si>
    <t>2266039300002656</t>
  </si>
  <si>
    <t>9780664253851</t>
  </si>
  <si>
    <t>32285001945111</t>
  </si>
  <si>
    <t>893892244</t>
  </si>
  <si>
    <t>BV4511 .B43 1990</t>
  </si>
  <si>
    <t>0                      BV 4511000B  43          1990</t>
  </si>
  <si>
    <t>Becoming Christian : dimensions of spiritual formation / Bill J. Leonard, editor.</t>
  </si>
  <si>
    <t>Louisville, Ky. : Westminster/J. Knox Press, c1990.</t>
  </si>
  <si>
    <t>2001-07-23</t>
  </si>
  <si>
    <t>1996-09-26</t>
  </si>
  <si>
    <t>931957:eng</t>
  </si>
  <si>
    <t>21030513</t>
  </si>
  <si>
    <t>991001641449702656</t>
  </si>
  <si>
    <t>2271416670002656</t>
  </si>
  <si>
    <t>9780664251192</t>
  </si>
  <si>
    <t>32285002320587</t>
  </si>
  <si>
    <t>893322104</t>
  </si>
  <si>
    <t>BV4511 .I53 2000</t>
  </si>
  <si>
    <t>0                      BV 4511000I  53          2000</t>
  </si>
  <si>
    <t>Inquiring after God : classic and contemporary readings / edited by Ellen T. Charry.</t>
  </si>
  <si>
    <t>Oxford ; Malden, Mass. : Blackwell, 2000.</t>
  </si>
  <si>
    <t>Blackwell readings in modern theology</t>
  </si>
  <si>
    <t>2001-08-14</t>
  </si>
  <si>
    <t>2001-08-13</t>
  </si>
  <si>
    <t>793046086:eng</t>
  </si>
  <si>
    <t>41628150</t>
  </si>
  <si>
    <t>991003564369702656</t>
  </si>
  <si>
    <t>2263392620002656</t>
  </si>
  <si>
    <t>9780631205432</t>
  </si>
  <si>
    <t>32285004377254</t>
  </si>
  <si>
    <t>893705362</t>
  </si>
  <si>
    <t>BV4515.2 .D63 1977</t>
  </si>
  <si>
    <t>0                      BV 4515200D  63          1977</t>
  </si>
  <si>
    <t>Not without parables : stories of yesterday, today, and eternity / Catherine de Hueck Doherty.</t>
  </si>
  <si>
    <t>Notre Dame, Ind. : Ave Maria Press, c1977.</t>
  </si>
  <si>
    <t>1999-01-15</t>
  </si>
  <si>
    <t>6692149:eng</t>
  </si>
  <si>
    <t>2925803</t>
  </si>
  <si>
    <t>991004286089702656</t>
  </si>
  <si>
    <t>2262747550002656</t>
  </si>
  <si>
    <t>9780877931263</t>
  </si>
  <si>
    <t>32285000967090</t>
  </si>
  <si>
    <t>893806876</t>
  </si>
  <si>
    <t>BV4525 .A54 1986</t>
  </si>
  <si>
    <t>0                      BV 4525000A  54          1986</t>
  </si>
  <si>
    <t>Ministry of the laity / James D. Anderson, Ezra Earl Jones.</t>
  </si>
  <si>
    <t>Anderson, James D. (James Desmond)</t>
  </si>
  <si>
    <t>San Francisco : Harper &amp; Row, c1986.</t>
  </si>
  <si>
    <t>1994-10-04</t>
  </si>
  <si>
    <t>7850423:eng</t>
  </si>
  <si>
    <t>13397396</t>
  </si>
  <si>
    <t>991000823829702656</t>
  </si>
  <si>
    <t>2263930920002656</t>
  </si>
  <si>
    <t>9780060601942</t>
  </si>
  <si>
    <t>32285000967157</t>
  </si>
  <si>
    <t>893714927</t>
  </si>
  <si>
    <t>BV4526 .C52 1985</t>
  </si>
  <si>
    <t>0                      BV 4526000C  52          1985</t>
  </si>
  <si>
    <t>The Challenge of peace, a challenge to parents : a reflective resource for parents / Commission on Marriage and Family Life, Department of Education, United States Catholic Conference.</t>
  </si>
  <si>
    <t>Washington, D.C. : Office of Publishing and Promotion Services, United States Catholic Conference, c1985.</t>
  </si>
  <si>
    <t>Family life renewal ; v. 1</t>
  </si>
  <si>
    <t>1995-04-13</t>
  </si>
  <si>
    <t>7013288:eng</t>
  </si>
  <si>
    <t>12437282</t>
  </si>
  <si>
    <t>991000689349702656</t>
  </si>
  <si>
    <t>2258710470002656</t>
  </si>
  <si>
    <t>32285000967165</t>
  </si>
  <si>
    <t>893878269</t>
  </si>
  <si>
    <t>BV4526.2 .B44 2002</t>
  </si>
  <si>
    <t>0                      BV 4526200B  44          2002</t>
  </si>
  <si>
    <t>Growing up Protestant : parents, children, and mainline churches / Margaret Lamberts Bendroth.</t>
  </si>
  <si>
    <t>Bendroth, Margaret Lamberts, 1954-</t>
  </si>
  <si>
    <t>New Brunswick, N.J. : Rutgers University Press, c2002.</t>
  </si>
  <si>
    <t>2002-04-17</t>
  </si>
  <si>
    <t>2002-04-04</t>
  </si>
  <si>
    <t>198498781:eng</t>
  </si>
  <si>
    <t>46872150</t>
  </si>
  <si>
    <t>991003763799702656</t>
  </si>
  <si>
    <t>2271867840002656</t>
  </si>
  <si>
    <t>9780813530130</t>
  </si>
  <si>
    <t>32285004477104</t>
  </si>
  <si>
    <t>893598951</t>
  </si>
  <si>
    <t>BV4526.2 .F36 1996</t>
  </si>
  <si>
    <t>0                      BV 4526200F  36          1996</t>
  </si>
  <si>
    <t>The family in theological perspective / edited by Stephen C. Barton.</t>
  </si>
  <si>
    <t>Edinburgh : T&amp;T Clark, 1996.</t>
  </si>
  <si>
    <t>stk</t>
  </si>
  <si>
    <t>2004-04-13</t>
  </si>
  <si>
    <t>1997-04-16</t>
  </si>
  <si>
    <t>20557796:eng</t>
  </si>
  <si>
    <t>59655801</t>
  </si>
  <si>
    <t>991002731769702656</t>
  </si>
  <si>
    <t>2268230530002656</t>
  </si>
  <si>
    <t>9780567085221</t>
  </si>
  <si>
    <t>32285002497765</t>
  </si>
  <si>
    <t>893504754</t>
  </si>
  <si>
    <t>BV4526.2 .M588 1992</t>
  </si>
  <si>
    <t>0                      BV 4526200M  588         1992</t>
  </si>
  <si>
    <t>Religion, family, and the life course : explorations in the social history of early America / Gerald F. Moran and Maris A. Vinovskis.</t>
  </si>
  <si>
    <t>Moran, Gerald F. (Gerald Francis), 1942-</t>
  </si>
  <si>
    <t>Ann Arbor : University of Michigan Press, c1992.</t>
  </si>
  <si>
    <t>2004-04-08</t>
  </si>
  <si>
    <t>1992-10-15</t>
  </si>
  <si>
    <t>28401287:eng</t>
  </si>
  <si>
    <t>25246363</t>
  </si>
  <si>
    <t>991001987399702656</t>
  </si>
  <si>
    <t>2256320120002656</t>
  </si>
  <si>
    <t>9780472103126</t>
  </si>
  <si>
    <t>32285001318004</t>
  </si>
  <si>
    <t>893439647</t>
  </si>
  <si>
    <t>BV4526.2 .N675 1998</t>
  </si>
  <si>
    <t>0                      BV 4526200N  675         1998</t>
  </si>
  <si>
    <t>The quotidian mysteries : laundry, liturgy, and "women's work" / Kathleen Norris.</t>
  </si>
  <si>
    <t>Madeleva lecture in spirituality ; 1998</t>
  </si>
  <si>
    <t>2004-04-05</t>
  </si>
  <si>
    <t>4797820787:eng</t>
  </si>
  <si>
    <t>38216138</t>
  </si>
  <si>
    <t>991005427709702656</t>
  </si>
  <si>
    <t>2255641970002656</t>
  </si>
  <si>
    <t>9780809138012</t>
  </si>
  <si>
    <t>32285003493169</t>
  </si>
  <si>
    <t>893783672</t>
  </si>
  <si>
    <t>BV4526.2 .R62 2000</t>
  </si>
  <si>
    <t>0                      BV 4526200R  62          2000</t>
  </si>
  <si>
    <t>The family cloister : Benedictine wisdom for the home / David Robinson.</t>
  </si>
  <si>
    <t>Robinson, David, 1957-</t>
  </si>
  <si>
    <t>New York : Crossroad Pub. Co., c2000.</t>
  </si>
  <si>
    <t>2010-07-11</t>
  </si>
  <si>
    <t>1673268885:eng</t>
  </si>
  <si>
    <t>41452575</t>
  </si>
  <si>
    <t>991003577399702656</t>
  </si>
  <si>
    <t>2262804280002656</t>
  </si>
  <si>
    <t>9780824518271</t>
  </si>
  <si>
    <t>32285004377700</t>
  </si>
  <si>
    <t>893318118</t>
  </si>
  <si>
    <t>BV4526.2 .S67 1997</t>
  </si>
  <si>
    <t>0                      BV 4526200S  67          1997</t>
  </si>
  <si>
    <t>Covenant and commitments : faith, family, and economic life / Max L. Stackhouse.</t>
  </si>
  <si>
    <t>Stackhouse, Max L.</t>
  </si>
  <si>
    <t>The family, religion, and culture</t>
  </si>
  <si>
    <t>1998-10-07</t>
  </si>
  <si>
    <t>906564828:eng</t>
  </si>
  <si>
    <t>36017094</t>
  </si>
  <si>
    <t>991002743729702656</t>
  </si>
  <si>
    <t>2262391430002656</t>
  </si>
  <si>
    <t>9780664254674</t>
  </si>
  <si>
    <t>32285003473443</t>
  </si>
  <si>
    <t>893440467</t>
  </si>
  <si>
    <t>BV4527 .C48 1998</t>
  </si>
  <si>
    <t>0                      BV 4527000C  48          1998</t>
  </si>
  <si>
    <t>Heart of flesh : a feminist spirituality for women and men / Joan D. Chittister.</t>
  </si>
  <si>
    <t>Chittister, Joan.</t>
  </si>
  <si>
    <t>Grand Rapids, Mich : William B. Eerdmans Pub. ; Ottawa : Novalis, c1998.</t>
  </si>
  <si>
    <t>2007-05-02</t>
  </si>
  <si>
    <t>2006-05-01</t>
  </si>
  <si>
    <t>611640:eng</t>
  </si>
  <si>
    <t>37694892</t>
  </si>
  <si>
    <t>991004794079702656</t>
  </si>
  <si>
    <t>2269499780002656</t>
  </si>
  <si>
    <t>9780802842824</t>
  </si>
  <si>
    <t>32285005183511</t>
  </si>
  <si>
    <t>893520055</t>
  </si>
  <si>
    <t>BV4527 .D57 1988</t>
  </si>
  <si>
    <t>0                      BV 4527000D  57          1988</t>
  </si>
  <si>
    <t>A Discipleship of equals : towards a Christian feminist spirituality / Francis A. Eigo, editor.</t>
  </si>
  <si>
    <t>Villanova, Pa. : Villanova University Press, c1988.</t>
  </si>
  <si>
    <t>Proceedings of the Theology Institute of Villanova University ; v. 20</t>
  </si>
  <si>
    <t>1999-07-13</t>
  </si>
  <si>
    <t>1992-10-08</t>
  </si>
  <si>
    <t>9826906838:eng</t>
  </si>
  <si>
    <t>17354352</t>
  </si>
  <si>
    <t>991001207559702656</t>
  </si>
  <si>
    <t>2268040550002656</t>
  </si>
  <si>
    <t>9780877230519</t>
  </si>
  <si>
    <t>32285001316586</t>
  </si>
  <si>
    <t>893891399</t>
  </si>
  <si>
    <t>BV4527 .W565 2001</t>
  </si>
  <si>
    <t>0                      BV 4527000W  565         2001</t>
  </si>
  <si>
    <t>The wisdom of daughters : two decades of the voice of Christian feminism / edited by Reta Halteman Finger and Kari Sandhaas.</t>
  </si>
  <si>
    <t>Philadelphia, PA : Innisfree Press, c2001.</t>
  </si>
  <si>
    <t>2002-07-31</t>
  </si>
  <si>
    <t>1810837879:eng</t>
  </si>
  <si>
    <t>47254227</t>
  </si>
  <si>
    <t>991003840499702656</t>
  </si>
  <si>
    <t>2259831990002656</t>
  </si>
  <si>
    <t>9781880913475</t>
  </si>
  <si>
    <t>32285004641519</t>
  </si>
  <si>
    <t>893900443</t>
  </si>
  <si>
    <t>BV4529 .M384 2000</t>
  </si>
  <si>
    <t>0                      BV 4529000M  384         2000</t>
  </si>
  <si>
    <t>Raising faith-filled kids : ordinary opportunities to nurture spirituality at home / Tom McGrath.</t>
  </si>
  <si>
    <t>McGrath, Tom, 1950-</t>
  </si>
  <si>
    <t>Chicago, Ill. : Loyola Press, c2000.</t>
  </si>
  <si>
    <t>1361976792:eng</t>
  </si>
  <si>
    <t>43786274</t>
  </si>
  <si>
    <t>991003577609702656</t>
  </si>
  <si>
    <t>2270637080002656</t>
  </si>
  <si>
    <t>9780829414257</t>
  </si>
  <si>
    <t>32285004378112</t>
  </si>
  <si>
    <t>893881313</t>
  </si>
  <si>
    <t>BV4529 .M387 2000</t>
  </si>
  <si>
    <t>0                      BV 4529000M  387         2000</t>
  </si>
  <si>
    <t>Growing strong daughters : encouraging girls to become all they're meant to be / Lisa Graham McMinn.</t>
  </si>
  <si>
    <t>McMinn, Lisa Graham, 1958-</t>
  </si>
  <si>
    <t>Grand Rapids, Mich. : Baker Books, c2000.</t>
  </si>
  <si>
    <t>2006-05-10</t>
  </si>
  <si>
    <t>836936157:eng</t>
  </si>
  <si>
    <t>43811242</t>
  </si>
  <si>
    <t>991004794449702656</t>
  </si>
  <si>
    <t>2269129840002656</t>
  </si>
  <si>
    <t>9780801063244</t>
  </si>
  <si>
    <t>32285005186548</t>
  </si>
  <si>
    <t>893241845</t>
  </si>
  <si>
    <t>BV4531.2 .G37 1996</t>
  </si>
  <si>
    <t>0                      BV 4531200G  37          1996</t>
  </si>
  <si>
    <t>The fabric of faithfulness : weaving together belief &amp; behavior during the university years / Steven Garber.</t>
  </si>
  <si>
    <t>Garber, Steven.</t>
  </si>
  <si>
    <t>Downers Grove, Ill. : InterVarsity Press, c1996</t>
  </si>
  <si>
    <t>1083477618:eng</t>
  </si>
  <si>
    <t>35292988</t>
  </si>
  <si>
    <t>991004517429702656</t>
  </si>
  <si>
    <t>2271432950002656</t>
  </si>
  <si>
    <t>9780830819942</t>
  </si>
  <si>
    <t>32285005034086</t>
  </si>
  <si>
    <t>893513334</t>
  </si>
  <si>
    <t>BV4531.2 .L5813 1973</t>
  </si>
  <si>
    <t>0                      BV 4531200L  5813        1973</t>
  </si>
  <si>
    <t>Identity and faith in young adults / by Jacques de Lorimier, Roger Graveline, and Aubert April. Translated by Matthew J. O'Connell.</t>
  </si>
  <si>
    <t>Lorimier, Jacques de, 1932-</t>
  </si>
  <si>
    <t>1995-01-31</t>
  </si>
  <si>
    <t>293197726:eng</t>
  </si>
  <si>
    <t>754646</t>
  </si>
  <si>
    <t>991003230059702656</t>
  </si>
  <si>
    <t>2267559510002656</t>
  </si>
  <si>
    <t>9780809117666</t>
  </si>
  <si>
    <t>32285000967306</t>
  </si>
  <si>
    <t>893410058</t>
  </si>
  <si>
    <t>BV4531.2 .W38 1982</t>
  </si>
  <si>
    <t>0                      BV 4531200W  38          1982</t>
  </si>
  <si>
    <t>Youth and the future of the Church : ministry with youth and young adults / by Michael Warren.</t>
  </si>
  <si>
    <t>New York : Seabury Press, 1982.</t>
  </si>
  <si>
    <t>902927907:eng</t>
  </si>
  <si>
    <t>7876390</t>
  </si>
  <si>
    <t>991005172739702656</t>
  </si>
  <si>
    <t>2266438190002656</t>
  </si>
  <si>
    <t>9780816405138</t>
  </si>
  <si>
    <t>32285000967348</t>
  </si>
  <si>
    <t>893877059</t>
  </si>
  <si>
    <t>BV4531.2 .Z8</t>
  </si>
  <si>
    <t>0                      BV 4531200Z  8</t>
  </si>
  <si>
    <t>Christian youth, an in-depth study : profiles of 3,000 teenagers and their morals, values, doubts, religious practices, social characteristics, evaluations of themselves, their families, their churches / by Roy B. Zuck and Gene A. Getz.</t>
  </si>
  <si>
    <t>Zuck, Roy B.</t>
  </si>
  <si>
    <t>Chicago, Moody Press [1968]</t>
  </si>
  <si>
    <t>1995-10-24</t>
  </si>
  <si>
    <t>1223949:eng</t>
  </si>
  <si>
    <t>61911</t>
  </si>
  <si>
    <t>991000169469702656</t>
  </si>
  <si>
    <t>2255160570002656</t>
  </si>
  <si>
    <t>32285000967355</t>
  </si>
  <si>
    <t>893607717</t>
  </si>
  <si>
    <t>BV4532 .A913</t>
  </si>
  <si>
    <t>0                      BV 4532000A  913</t>
  </si>
  <si>
    <t>Dare to live: Taizé 1974; preparing for the world-wide Council of Youth / foreword by Samuel Wylie.</t>
  </si>
  <si>
    <t>New York : Seabury Press, 1973.</t>
  </si>
  <si>
    <t>1994-09-06</t>
  </si>
  <si>
    <t>1990-07-13</t>
  </si>
  <si>
    <t>5092216129:eng</t>
  </si>
  <si>
    <t>790271</t>
  </si>
  <si>
    <t>991003264449702656</t>
  </si>
  <si>
    <t>2264059980002656</t>
  </si>
  <si>
    <t>9780816425822</t>
  </si>
  <si>
    <t>32285000236835</t>
  </si>
  <si>
    <t>893774572</t>
  </si>
  <si>
    <t>BV4551.2 .D38 2001</t>
  </si>
  <si>
    <t>0                      BV 4551200D  38          2001</t>
  </si>
  <si>
    <t>Beyond nice : the spiritual wisdom of adolescent girls / Patricia H. Davis.</t>
  </si>
  <si>
    <t>Davis, Patricia H., 1953-</t>
  </si>
  <si>
    <t>Minneapolis : Fortress Press, c2001</t>
  </si>
  <si>
    <t>2010-06-22</t>
  </si>
  <si>
    <t>2001-02-26</t>
  </si>
  <si>
    <t>60418:eng</t>
  </si>
  <si>
    <t>44268122</t>
  </si>
  <si>
    <t>991003495419702656</t>
  </si>
  <si>
    <t>2264413210002656</t>
  </si>
  <si>
    <t>9780800632564</t>
  </si>
  <si>
    <t>32285004297528</t>
  </si>
  <si>
    <t>893699045</t>
  </si>
  <si>
    <t>BV4571.2 .P58</t>
  </si>
  <si>
    <t>0                      BV 4571200P  58</t>
  </si>
  <si>
    <t>Concept development and the development of the God concept in the child : a bibliography / V. Peter Pitts ; foreward by John H. Peatling.</t>
  </si>
  <si>
    <t>Pitts, V. Peter.</t>
  </si>
  <si>
    <t>Schenectady, N.Y. : Character Research Press, c1977.</t>
  </si>
  <si>
    <t>1997-06-24</t>
  </si>
  <si>
    <t>1990-03-06</t>
  </si>
  <si>
    <t>208297300:eng</t>
  </si>
  <si>
    <t>3239882</t>
  </si>
  <si>
    <t>991004384679702656</t>
  </si>
  <si>
    <t>2256572310002656</t>
  </si>
  <si>
    <t>9780915744077</t>
  </si>
  <si>
    <t>32285000077163</t>
  </si>
  <si>
    <t>893605961</t>
  </si>
  <si>
    <t>BV4579.5 .B72 1985</t>
  </si>
  <si>
    <t>0                      BV 4579500B  72          1985</t>
  </si>
  <si>
    <t>Mid-life directions : praying and playing sources of new dynamism / Anne Brennan, Janice Brewi.</t>
  </si>
  <si>
    <t>Brennan, Anne.</t>
  </si>
  <si>
    <t>5353577:eng</t>
  </si>
  <si>
    <t>12661318</t>
  </si>
  <si>
    <t>991000749889702656</t>
  </si>
  <si>
    <t>2268507960002656</t>
  </si>
  <si>
    <t>9780809126811</t>
  </si>
  <si>
    <t>32285000229012</t>
  </si>
  <si>
    <t>893255699</t>
  </si>
  <si>
    <t>BV4579.5 .B73 1991</t>
  </si>
  <si>
    <t>0                      BV 4579500B  73          1991</t>
  </si>
  <si>
    <t>Mid-life : psychological and spiritual perspectives / Janice Brewi and Anne Brennan.</t>
  </si>
  <si>
    <t>Brewi, Janice.</t>
  </si>
  <si>
    <t>New York : Crossroad, 1991, c1982.</t>
  </si>
  <si>
    <t>[2nd ed.]</t>
  </si>
  <si>
    <t>2005-09-21</t>
  </si>
  <si>
    <t>22608652:eng</t>
  </si>
  <si>
    <t>20537267</t>
  </si>
  <si>
    <t>991001586329702656</t>
  </si>
  <si>
    <t>2270094500002656</t>
  </si>
  <si>
    <t>9780824507015</t>
  </si>
  <si>
    <t>32285001198034</t>
  </si>
  <si>
    <t>893250313</t>
  </si>
  <si>
    <t>BV4579.5 .B83 1997</t>
  </si>
  <si>
    <t>0                      BV 4579500B  83          1997</t>
  </si>
  <si>
    <t>Game plan : winning strategies for the second half of your life / Bob Buford.</t>
  </si>
  <si>
    <t>Buford, Bob.</t>
  </si>
  <si>
    <t>Grand Rapids, Mich. : Zondervan, c1997.</t>
  </si>
  <si>
    <t>2007-07-02</t>
  </si>
  <si>
    <t>1997-10-02</t>
  </si>
  <si>
    <t>607991:eng</t>
  </si>
  <si>
    <t>36042312</t>
  </si>
  <si>
    <t>991002746499702656</t>
  </si>
  <si>
    <t>2267373330002656</t>
  </si>
  <si>
    <t>9780310212058</t>
  </si>
  <si>
    <t>32285003252052</t>
  </si>
  <si>
    <t>893421747</t>
  </si>
  <si>
    <t>BV4579.5 .B84 1994</t>
  </si>
  <si>
    <t>0                      BV 4579500B  84          1994</t>
  </si>
  <si>
    <t>Halftime : changing your game plan from success to significance / Bob Buford.</t>
  </si>
  <si>
    <t>Grand Rapids, Mich. : Zondervan, c1994.</t>
  </si>
  <si>
    <t>2010-05-12</t>
  </si>
  <si>
    <t>12661443:eng</t>
  </si>
  <si>
    <t>31605050</t>
  </si>
  <si>
    <t>991002422919702656</t>
  </si>
  <si>
    <t>2265840710002656</t>
  </si>
  <si>
    <t>9780310215325</t>
  </si>
  <si>
    <t>32285003252086</t>
  </si>
  <si>
    <t>893523586</t>
  </si>
  <si>
    <t>BV4579.5 .G84 1995</t>
  </si>
  <si>
    <t>0                      BV 4579500G  84          1995</t>
  </si>
  <si>
    <t>Toward holy ground : spiritual directions for the second half of life / Margaret Guenther.</t>
  </si>
  <si>
    <t>Guenther, Margaret, 1929-2016.</t>
  </si>
  <si>
    <t>2003-12-11</t>
  </si>
  <si>
    <t>836987647:eng</t>
  </si>
  <si>
    <t>32508977</t>
  </si>
  <si>
    <t>991004203759702656</t>
  </si>
  <si>
    <t>2261722930002656</t>
  </si>
  <si>
    <t>9781561011148</t>
  </si>
  <si>
    <t>32285004846506</t>
  </si>
  <si>
    <t>893532120</t>
  </si>
  <si>
    <t>BV4579.5 .H38 1995</t>
  </si>
  <si>
    <t>0                      BV 4579500H  38          1995</t>
  </si>
  <si>
    <t>Jubilee time : celebrating women, spirit, and the advent of age / Maria Harris.</t>
  </si>
  <si>
    <t>Harris, Maria.</t>
  </si>
  <si>
    <t>New York : Bantam Books, 1995.</t>
  </si>
  <si>
    <t>2005-04-02</t>
  </si>
  <si>
    <t>16948891:eng</t>
  </si>
  <si>
    <t>31608005</t>
  </si>
  <si>
    <t>991002426039702656</t>
  </si>
  <si>
    <t>2264292330002656</t>
  </si>
  <si>
    <t>9780553099867</t>
  </si>
  <si>
    <t>32285002112638</t>
  </si>
  <si>
    <t>893616101</t>
  </si>
  <si>
    <t>BV4579.5 .W53 1997</t>
  </si>
  <si>
    <t>0                      BV 4579500W  53          1997</t>
  </si>
  <si>
    <t>After 50 : spiritually embracing your own wisdom years / Robert J. Wicks.</t>
  </si>
  <si>
    <t>2009-06-22</t>
  </si>
  <si>
    <t>1997-03-10</t>
  </si>
  <si>
    <t>4780244366:eng</t>
  </si>
  <si>
    <t>35792289</t>
  </si>
  <si>
    <t>991002729189702656</t>
  </si>
  <si>
    <t>2260903090002656</t>
  </si>
  <si>
    <t>9780809104833</t>
  </si>
  <si>
    <t>32285002441169</t>
  </si>
  <si>
    <t>893892906</t>
  </si>
  <si>
    <t>BV4580 .A44 1985</t>
  </si>
  <si>
    <t>0                      BV 4580000A  44          1985</t>
  </si>
  <si>
    <t>Affirmative aging : a resource for ministry / edited by the Episcopal Society for Ministry on Aging ; [contributors, T. Herbert O'Driscoll ... et al.].</t>
  </si>
  <si>
    <t>Minneapolis, Minn. : Winston Press, c1985.</t>
  </si>
  <si>
    <t>1995-07-07</t>
  </si>
  <si>
    <t>430055813:eng</t>
  </si>
  <si>
    <t>12909284</t>
  </si>
  <si>
    <t>991000750279702656</t>
  </si>
  <si>
    <t>2266540060002656</t>
  </si>
  <si>
    <t>9780866837866</t>
  </si>
  <si>
    <t>32285000967397</t>
  </si>
  <si>
    <t>893897177</t>
  </si>
  <si>
    <t>BV4580 .A45 1994</t>
  </si>
  <si>
    <t>0                      BV 4580000A  45          1994</t>
  </si>
  <si>
    <t>Aging and God : spiritual pathways to mental health in midlife and later years / Harold G. Koenig.</t>
  </si>
  <si>
    <t>Koenig, Harold G. (Harold George), 1951-</t>
  </si>
  <si>
    <t>New York : Haworth Pastoral Press, c1994.</t>
  </si>
  <si>
    <t>1998-06-23</t>
  </si>
  <si>
    <t>1996-08-08</t>
  </si>
  <si>
    <t>375607910:eng</t>
  </si>
  <si>
    <t>27171756</t>
  </si>
  <si>
    <t>991002119359702656</t>
  </si>
  <si>
    <t>2272580830002656</t>
  </si>
  <si>
    <t>9781560244233</t>
  </si>
  <si>
    <t>32285002272028</t>
  </si>
  <si>
    <t>893497746</t>
  </si>
  <si>
    <t>BV4580 .F53 1989</t>
  </si>
  <si>
    <t>0                      BV 4580000F  53          1989</t>
  </si>
  <si>
    <t>The treasured age : spirituality for seniors / James F. Finley.</t>
  </si>
  <si>
    <t>Finley, James F.</t>
  </si>
  <si>
    <t>New York : Alba House, c1989.</t>
  </si>
  <si>
    <t>2003-09-09</t>
  </si>
  <si>
    <t>18995206:eng</t>
  </si>
  <si>
    <t>18982769</t>
  </si>
  <si>
    <t>991004118029702656</t>
  </si>
  <si>
    <t>2269161640002656</t>
  </si>
  <si>
    <t>9780818905544</t>
  </si>
  <si>
    <t>32285004781653</t>
  </si>
  <si>
    <t>893535822</t>
  </si>
  <si>
    <t>BV4580 .H23 1985</t>
  </si>
  <si>
    <t>0                      BV 4580000H  23          1985</t>
  </si>
  <si>
    <t>Winter grace : spirituality for the later years / Kathleen R. Fischer.</t>
  </si>
  <si>
    <t>Fischer, Kathleen R., 1940-</t>
  </si>
  <si>
    <t>235147276:eng</t>
  </si>
  <si>
    <t>12270386</t>
  </si>
  <si>
    <t>991000665499702656</t>
  </si>
  <si>
    <t>2256746600002656</t>
  </si>
  <si>
    <t>9780809126750</t>
  </si>
  <si>
    <t>32285000269943</t>
  </si>
  <si>
    <t>893620684</t>
  </si>
  <si>
    <t>BV4580 .M36 1986</t>
  </si>
  <si>
    <t>0                      BV 4580000M  36          1986</t>
  </si>
  <si>
    <t>Faith for the older years : making the most of life's second half / Paul B. Maves.</t>
  </si>
  <si>
    <t>Maves, Paul B.</t>
  </si>
  <si>
    <t>Minneapolis : Augsburg Pub. House, c1986.</t>
  </si>
  <si>
    <t>2001-06-26</t>
  </si>
  <si>
    <t>5860760:eng</t>
  </si>
  <si>
    <t>13095923</t>
  </si>
  <si>
    <t>991000780939702656</t>
  </si>
  <si>
    <t>2256144860002656</t>
  </si>
  <si>
    <t>9780806621951</t>
  </si>
  <si>
    <t>32285004385133</t>
  </si>
  <si>
    <t>893339885</t>
  </si>
  <si>
    <t>BV4580 .N37 1977</t>
  </si>
  <si>
    <t>0                      BV 4580000N  37          1977</t>
  </si>
  <si>
    <t>Spiritual well-being of the elderly / edited by James A. Thorson and Thomas C. Cook, Jr.</t>
  </si>
  <si>
    <t>National Intra-decade Conference on Spiritual Well-being of the Elderly (1977 : Atlanta, Ga.)</t>
  </si>
  <si>
    <t>Springfield, Ill. : Thomas, c1980.</t>
  </si>
  <si>
    <t>1992-03-20</t>
  </si>
  <si>
    <t>472134:eng</t>
  </si>
  <si>
    <t>5410537</t>
  </si>
  <si>
    <t>991004830969702656</t>
  </si>
  <si>
    <t>2260593670002656</t>
  </si>
  <si>
    <t>9780398039981</t>
  </si>
  <si>
    <t>32285001025138</t>
  </si>
  <si>
    <t>893713071</t>
  </si>
  <si>
    <t>BV4581 .V37 2005</t>
  </si>
  <si>
    <t>0                      BV 4581000V  37          2005</t>
  </si>
  <si>
    <t>Summoned at every age : finding God in our later years / Peter van Breemen.</t>
  </si>
  <si>
    <t>Van Breemen, Peter G., 1927-</t>
  </si>
  <si>
    <t>Notre Dame, Ind. : Ave Maria Press, c2005.</t>
  </si>
  <si>
    <t>Ignatian impulse series</t>
  </si>
  <si>
    <t>2008-06-04</t>
  </si>
  <si>
    <t>4159983933:eng</t>
  </si>
  <si>
    <t>59712345</t>
  </si>
  <si>
    <t>991005224529702656</t>
  </si>
  <si>
    <t>2265768990002656</t>
  </si>
  <si>
    <t>9781594710360</t>
  </si>
  <si>
    <t>32285005442305</t>
  </si>
  <si>
    <t>893810935</t>
  </si>
  <si>
    <t>BV4588 .M27 1986</t>
  </si>
  <si>
    <t>0                      BV 4588000M  27          1986</t>
  </si>
  <si>
    <t>Out of the night : the spiritual journey of Vietnam vets / William P. Mahedy.</t>
  </si>
  <si>
    <t>Mahedy, William P., 1936-</t>
  </si>
  <si>
    <t>Knoxville, TN : Radix Press, c2004.</t>
  </si>
  <si>
    <t>2010-04-13</t>
  </si>
  <si>
    <t>620135:eng</t>
  </si>
  <si>
    <t>187116748</t>
  </si>
  <si>
    <t>991005378089702656</t>
  </si>
  <si>
    <t>2270900450002656</t>
  </si>
  <si>
    <t>9781596770034</t>
  </si>
  <si>
    <t>32285005563449</t>
  </si>
  <si>
    <t>893871095</t>
  </si>
  <si>
    <t>BV4593 .P54 2001</t>
  </si>
  <si>
    <t>0                      BV 4593000P  54          2001</t>
  </si>
  <si>
    <t>Spirituality @ work : 10 ways to balance your life on-the-job / Gregory F.A. Pierce ; foreword by Mark Hostetter.</t>
  </si>
  <si>
    <t>Pierce, Gregory F.</t>
  </si>
  <si>
    <t>Chicago : LoyolaPress, c2001.</t>
  </si>
  <si>
    <t>2010-01-27</t>
  </si>
  <si>
    <t>303479990:eng</t>
  </si>
  <si>
    <t>44727895</t>
  </si>
  <si>
    <t>991003577519702656</t>
  </si>
  <si>
    <t>2256919100002656</t>
  </si>
  <si>
    <t>9780829413496</t>
  </si>
  <si>
    <t>32285004377668</t>
  </si>
  <si>
    <t>893524976</t>
  </si>
  <si>
    <t>BV4596.B8 W63 1961</t>
  </si>
  <si>
    <t>0                      BV 4596000B  8                  W  63          1961</t>
  </si>
  <si>
    <t>Business and the christian virtues / by Brother La Salle Woelfel.</t>
  </si>
  <si>
    <t>Woelfel, B. LaSalle.</t>
  </si>
  <si>
    <t>Austin : St. Edward's Univ. Pr., 1961.</t>
  </si>
  <si>
    <t>2005-10-10</t>
  </si>
  <si>
    <t>2334059:eng</t>
  </si>
  <si>
    <t>1389083</t>
  </si>
  <si>
    <t>991003734699702656</t>
  </si>
  <si>
    <t>2255723610002656</t>
  </si>
  <si>
    <t>32285000967439</t>
  </si>
  <si>
    <t>893336869</t>
  </si>
  <si>
    <t>32285000967447</t>
  </si>
  <si>
    <t>893330715</t>
  </si>
  <si>
    <t>BV4596.S5 I87 1983</t>
  </si>
  <si>
    <t>0                      BV 4596000S  5                  I  87          1983</t>
  </si>
  <si>
    <t>Living alone : the spiritual dimension / Martin Israel.</t>
  </si>
  <si>
    <t>Israel, Martin.</t>
  </si>
  <si>
    <t>New York : Crossroad, 1983, c1982.</t>
  </si>
  <si>
    <t>2002-12-06</t>
  </si>
  <si>
    <t>491153:eng</t>
  </si>
  <si>
    <t>9624826</t>
  </si>
  <si>
    <t>991000229449702656</t>
  </si>
  <si>
    <t>2272312210002656</t>
  </si>
  <si>
    <t>9780824505035</t>
  </si>
  <si>
    <t>32285000536465</t>
  </si>
  <si>
    <t>893438118</t>
  </si>
  <si>
    <t>BV4596.S9 S68 1985</t>
  </si>
  <si>
    <t>0                      BV 4596000S  9                  S  68          1985</t>
  </si>
  <si>
    <t>The Spirituality of the religious educator / edited by James Michael Lee.</t>
  </si>
  <si>
    <t>1994-08-03</t>
  </si>
  <si>
    <t>1991-08-12</t>
  </si>
  <si>
    <t>4720176:eng</t>
  </si>
  <si>
    <t>11842233</t>
  </si>
  <si>
    <t>991000602119702656</t>
  </si>
  <si>
    <t>2265160530002656</t>
  </si>
  <si>
    <t>9780891350453</t>
  </si>
  <si>
    <t>32285000683069</t>
  </si>
  <si>
    <t>893419611</t>
  </si>
  <si>
    <t>BV4597.3 .W47 1994</t>
  </si>
  <si>
    <t>0                      BV 4597300W  47          1994</t>
  </si>
  <si>
    <t>Shadows of the heart : a spirituality of the negative emotions / James D. Whitehead and Evelyn Eaton Whitehead.</t>
  </si>
  <si>
    <t>Whitehead, James D.</t>
  </si>
  <si>
    <t>New York : Crossroad, 1994.</t>
  </si>
  <si>
    <t>2000-11-20</t>
  </si>
  <si>
    <t>1994-11-13</t>
  </si>
  <si>
    <t>40956959:eng</t>
  </si>
  <si>
    <t>30436766</t>
  </si>
  <si>
    <t>991002337779702656</t>
  </si>
  <si>
    <t>2258879650002656</t>
  </si>
  <si>
    <t>9780824514419</t>
  </si>
  <si>
    <t>32285001957306</t>
  </si>
  <si>
    <t>893445104</t>
  </si>
  <si>
    <t>BV4597.52 .C7 1997</t>
  </si>
  <si>
    <t>0                      BV 4597520C  7           1997</t>
  </si>
  <si>
    <t>Connecting : healing for ourselves and our relationships : a radical new vision / Larry Crabb.</t>
  </si>
  <si>
    <t>Crabb, Larry, 1944-</t>
  </si>
  <si>
    <t>Nashville, Tenn. : Word Pub., c1997.</t>
  </si>
  <si>
    <t>635464:eng</t>
  </si>
  <si>
    <t>37260988</t>
  </si>
  <si>
    <t>991004264179702656</t>
  </si>
  <si>
    <t>2271504570002656</t>
  </si>
  <si>
    <t>9780849914133</t>
  </si>
  <si>
    <t>32285004895131</t>
  </si>
  <si>
    <t>893337507</t>
  </si>
  <si>
    <t>BV4597.52 .W43 1999</t>
  </si>
  <si>
    <t>0                      BV 4597520W  43          1999</t>
  </si>
  <si>
    <t>Soulcraft : how God shapes us through relationships / Douglas D. Webster.</t>
  </si>
  <si>
    <t>Webster, Douglas D.</t>
  </si>
  <si>
    <t>2007-04-18</t>
  </si>
  <si>
    <t>2006-04-11</t>
  </si>
  <si>
    <t>43907598:eng</t>
  </si>
  <si>
    <t>42641647</t>
  </si>
  <si>
    <t>991004794499702656</t>
  </si>
  <si>
    <t>2258556860002656</t>
  </si>
  <si>
    <t>9780830822539</t>
  </si>
  <si>
    <t>32285005181283</t>
  </si>
  <si>
    <t>893536212</t>
  </si>
  <si>
    <t>BV4597.53.I55 M88 1995</t>
  </si>
  <si>
    <t>0                      BV 4597530I  55                 M  88          1995</t>
  </si>
  <si>
    <t>Late have I loved thee : the recovery of intimacy / Susan Muto.</t>
  </si>
  <si>
    <t>Muto, Susan, 1942-</t>
  </si>
  <si>
    <t>New York : Crossroad, 1995.</t>
  </si>
  <si>
    <t>2007-06-05</t>
  </si>
  <si>
    <t>1995-09-18</t>
  </si>
  <si>
    <t>4732306544:eng</t>
  </si>
  <si>
    <t>32627620</t>
  </si>
  <si>
    <t>991002509789702656</t>
  </si>
  <si>
    <t>2270477720002656</t>
  </si>
  <si>
    <t>9780824515225</t>
  </si>
  <si>
    <t>32285002094331</t>
  </si>
  <si>
    <t>893257396</t>
  </si>
  <si>
    <t>BV4597.53.L43 F35 2000</t>
  </si>
  <si>
    <t>0                      BV 4597530L  43                 F  35          2000</t>
  </si>
  <si>
    <t>Faith in leadership : how leaders live out their faith in their work-- and why it matters / Robert Banks, Kimberly Powell, editors ; foreword by Max de Pree.</t>
  </si>
  <si>
    <t>San Francisco : Jossey-Bass, c2000.</t>
  </si>
  <si>
    <t>2006-04-10</t>
  </si>
  <si>
    <t>836989091:eng</t>
  </si>
  <si>
    <t>42680477</t>
  </si>
  <si>
    <t>991004780649702656</t>
  </si>
  <si>
    <t>2261974590002656</t>
  </si>
  <si>
    <t>9780787945862</t>
  </si>
  <si>
    <t>32285005180574</t>
  </si>
  <si>
    <t>893424184</t>
  </si>
  <si>
    <t>BV4597.53.L43 L57 2002</t>
  </si>
  <si>
    <t>0                      BV 4597530L  43                 L  57          2002</t>
  </si>
  <si>
    <t>Life@work on leadership : enduring insights for men and women of faith / [edited by] Stephen R. Graves and Thomas G. Addington ; foreword by Ken Blanchard.</t>
  </si>
  <si>
    <t>San Francisco : Jossey-Bass, c2002.</t>
  </si>
  <si>
    <t>2008-01-28</t>
  </si>
  <si>
    <t>2005-04-07</t>
  </si>
  <si>
    <t>6278521:eng</t>
  </si>
  <si>
    <t>50272470</t>
  </si>
  <si>
    <t>991004517149702656</t>
  </si>
  <si>
    <t>2259847780002656</t>
  </si>
  <si>
    <t>9780787964207</t>
  </si>
  <si>
    <t>32285005049084</t>
  </si>
  <si>
    <t>893722475</t>
  </si>
  <si>
    <t>BV4597.565 .W45 2000</t>
  </si>
  <si>
    <t>0                      BV 4597565W  45          2000</t>
  </si>
  <si>
    <t>Behold your life : a pilgrimage through your memories / Macrina Wiederkehr.</t>
  </si>
  <si>
    <t>Wiederkehr, Macrina.</t>
  </si>
  <si>
    <t>Notre Dame, IN : Ave Maria Press, 2000.</t>
  </si>
  <si>
    <t>27517461:eng</t>
  </si>
  <si>
    <t>42652553</t>
  </si>
  <si>
    <t>991004263819702656</t>
  </si>
  <si>
    <t>2269721560002656</t>
  </si>
  <si>
    <t>9780877939313</t>
  </si>
  <si>
    <t>32285004894795</t>
  </si>
  <si>
    <t>893513025</t>
  </si>
  <si>
    <t>BV4598.4 .S57 2000</t>
  </si>
  <si>
    <t>0                      BV 4598400S  57          2000</t>
  </si>
  <si>
    <t>Habits of the mind : intellectual life as a Christian calling / James W. Sire.</t>
  </si>
  <si>
    <t>Sire, James W.</t>
  </si>
  <si>
    <t>Downers Grove, Ill. : InterVarsity Press, c2000.</t>
  </si>
  <si>
    <t>2006-05-30</t>
  </si>
  <si>
    <t>836953567:eng</t>
  </si>
  <si>
    <t>44313319</t>
  </si>
  <si>
    <t>991004780789702656</t>
  </si>
  <si>
    <t>2257167190002656</t>
  </si>
  <si>
    <t>9780830822737</t>
  </si>
  <si>
    <t>32285005189799</t>
  </si>
  <si>
    <t>893344250</t>
  </si>
  <si>
    <t>BV460 .S58</t>
  </si>
  <si>
    <t>0                      BV 0460000S  58</t>
  </si>
  <si>
    <t>Gospel hymns and social religion : the rhetoric of nineteenth-century revivalism / Sandra S. Sizer.</t>
  </si>
  <si>
    <t>Frankiel, Tamar, 1946-</t>
  </si>
  <si>
    <t>Philadelphia : Temple University Press, c1978.</t>
  </si>
  <si>
    <t>American civilization</t>
  </si>
  <si>
    <t>981795636:eng</t>
  </si>
  <si>
    <t>4496597</t>
  </si>
  <si>
    <t>991004660419702656</t>
  </si>
  <si>
    <t>2268662030002656</t>
  </si>
  <si>
    <t>9780877221418</t>
  </si>
  <si>
    <t>32285000902345</t>
  </si>
  <si>
    <t>893618931</t>
  </si>
  <si>
    <t>BV4612 .W3 1965</t>
  </si>
  <si>
    <t>0                      BV 4612000W  3           1965</t>
  </si>
  <si>
    <t>A new introduction to moral theology / Herbert Waddams.</t>
  </si>
  <si>
    <t>Waddams, Herbert (Herbert Montague)</t>
  </si>
  <si>
    <t>New York, Seabury Press [1965, c1964]</t>
  </si>
  <si>
    <t>A Seabury paperback, SP22</t>
  </si>
  <si>
    <t>1998-06-14</t>
  </si>
  <si>
    <t>1512272:eng</t>
  </si>
  <si>
    <t>386705</t>
  </si>
  <si>
    <t>991002649639702656</t>
  </si>
  <si>
    <t>2259532810002656</t>
  </si>
  <si>
    <t>32285000967496</t>
  </si>
  <si>
    <t>893710511</t>
  </si>
  <si>
    <t>BV4615 .C66</t>
  </si>
  <si>
    <t>0                      BV 4615000C  66</t>
  </si>
  <si>
    <t>Conscience--development and self-transcendence / Walter E. Conn.</t>
  </si>
  <si>
    <t>Conn, Walter E.</t>
  </si>
  <si>
    <t>Birmingham, Ala. : Religious Education Press, [1981]</t>
  </si>
  <si>
    <t>2004-02-24</t>
  </si>
  <si>
    <t>1992-03-02</t>
  </si>
  <si>
    <t>22704838:eng</t>
  </si>
  <si>
    <t>6602821</t>
  </si>
  <si>
    <t>991005011019702656</t>
  </si>
  <si>
    <t>2255663620002656</t>
  </si>
  <si>
    <t>9780891350255</t>
  </si>
  <si>
    <t>32285000967512</t>
  </si>
  <si>
    <t>893776691</t>
  </si>
  <si>
    <t>BV4625 .L54</t>
  </si>
  <si>
    <t>0                      BV 4625000L  54</t>
  </si>
  <si>
    <t>Sin comes of age / by Duncan E. Littlefair.</t>
  </si>
  <si>
    <t>Littlefair, Duncan E. (Duncan Elliot), 1912-</t>
  </si>
  <si>
    <t>Philadelphia : Westminster Press, [1975]</t>
  </si>
  <si>
    <t>2002-02-17</t>
  </si>
  <si>
    <t>2286408394:eng</t>
  </si>
  <si>
    <t>1532028</t>
  </si>
  <si>
    <t>991003808639702656</t>
  </si>
  <si>
    <t>2272163930002656</t>
  </si>
  <si>
    <t>9780664208073</t>
  </si>
  <si>
    <t>32285000967553</t>
  </si>
  <si>
    <t>893868898</t>
  </si>
  <si>
    <t>BV4625 .M46</t>
  </si>
  <si>
    <t>0                      BV 4625000M  46</t>
  </si>
  <si>
    <t>Whatever became of sin? / Karl Menninger.</t>
  </si>
  <si>
    <t>Menninger, Karl A. (Karl Augustus), 1893-1990.</t>
  </si>
  <si>
    <t>New York, Hawthorn Books [1973]</t>
  </si>
  <si>
    <t>103208301:eng</t>
  </si>
  <si>
    <t>813140</t>
  </si>
  <si>
    <t>991003290999702656</t>
  </si>
  <si>
    <t>2267335660002656</t>
  </si>
  <si>
    <t>9780801585548</t>
  </si>
  <si>
    <t>32285000967561</t>
  </si>
  <si>
    <t>893323953</t>
  </si>
  <si>
    <t>BV4626 .B46</t>
  </si>
  <si>
    <t>0                      BV 4626000B  46</t>
  </si>
  <si>
    <t>The seven deadly sins : an introduction to the history of a religious concept, with special reference to medieval English literature / by Morton W. Bloomfield.</t>
  </si>
  <si>
    <t>Bloomfield, Morton W. (Morton Wilfred), 1913-1987.</t>
  </si>
  <si>
    <t>[East Lansing] Michigan State College Press [c1952]</t>
  </si>
  <si>
    <t>[Michigan. State College of Agriculture and Applied Science, East Lansing] Studies in language and literature</t>
  </si>
  <si>
    <t>2009-11-23</t>
  </si>
  <si>
    <t>1841691:eng</t>
  </si>
  <si>
    <t>870789</t>
  </si>
  <si>
    <t>991003340119702656</t>
  </si>
  <si>
    <t>2259611220002656</t>
  </si>
  <si>
    <t>32285000967587</t>
  </si>
  <si>
    <t>893617258</t>
  </si>
  <si>
    <t>BV4626 .S86 1962a</t>
  </si>
  <si>
    <t>0                      BV 4626000S  86          1962a</t>
  </si>
  <si>
    <t>The seven deadly sins / [by] Angus Wilson [and others]. Special foreword by Ian Fleming. Introd. by Raymond Mortimer.</t>
  </si>
  <si>
    <t>Sunday times (London, England)</t>
  </si>
  <si>
    <t>New York : Morrow, [1962]</t>
  </si>
  <si>
    <t>2009-12-05</t>
  </si>
  <si>
    <t>1990-06-22</t>
  </si>
  <si>
    <t>9093709049:eng</t>
  </si>
  <si>
    <t>172451</t>
  </si>
  <si>
    <t>991001005049702656</t>
  </si>
  <si>
    <t>2270389710002656</t>
  </si>
  <si>
    <t>9780836917222</t>
  </si>
  <si>
    <t>32285000212356</t>
  </si>
  <si>
    <t>893614691</t>
  </si>
  <si>
    <t>BV4630 .F5 1928</t>
  </si>
  <si>
    <t>0                      BV 4630000F  5           1928</t>
  </si>
  <si>
    <t>The supernatural virtues / by the Rev. T. E. Flynn; introduction by Rev. Martin J. Scott.</t>
  </si>
  <si>
    <t>Flynn, Thomas Edward, 1880-1961.</t>
  </si>
  <si>
    <t>New York : Macmillan, 1928.</t>
  </si>
  <si>
    <t>1928</t>
  </si>
  <si>
    <t>The Treasury of the Faith Series, No.18.</t>
  </si>
  <si>
    <t>2003-02-01</t>
  </si>
  <si>
    <t>2529320335:eng</t>
  </si>
  <si>
    <t>920686</t>
  </si>
  <si>
    <t>991003383369702656</t>
  </si>
  <si>
    <t>2272182430002656</t>
  </si>
  <si>
    <t>32285000967611</t>
  </si>
  <si>
    <t>893698964</t>
  </si>
  <si>
    <t>BV4630 .F76 1999</t>
  </si>
  <si>
    <t>0                      BV 4630000F  76          1999</t>
  </si>
  <si>
    <t>From the ground up : teaching Catholic social principles in elementary schools / written and compiled by the Elementary and Secondary Schools Subgroup of the Task Force on Catholic Social Teaching and Catholic Education.</t>
  </si>
  <si>
    <t>1999-11-23</t>
  </si>
  <si>
    <t>1999-08-19</t>
  </si>
  <si>
    <t>4011058369:eng</t>
  </si>
  <si>
    <t>43798774</t>
  </si>
  <si>
    <t>991003037529702656</t>
  </si>
  <si>
    <t>2259405580002656</t>
  </si>
  <si>
    <t>9781558332218</t>
  </si>
  <si>
    <t>32285003582961</t>
  </si>
  <si>
    <t>893440862</t>
  </si>
  <si>
    <t>BV4630 .G813 1967</t>
  </si>
  <si>
    <t>0                      BV 4630000G  813         1967</t>
  </si>
  <si>
    <t>The virtues : on forms of moral life / Romano Guardini ; translated by Stella Lange.</t>
  </si>
  <si>
    <t>Chicago : H. Regnery Co., [1967]</t>
  </si>
  <si>
    <t>2003-04-05</t>
  </si>
  <si>
    <t>1990-12-19</t>
  </si>
  <si>
    <t>10678473373:eng</t>
  </si>
  <si>
    <t>885672</t>
  </si>
  <si>
    <t>991003352079702656</t>
  </si>
  <si>
    <t>2257213430002656</t>
  </si>
  <si>
    <t>32285000297829</t>
  </si>
  <si>
    <t>893352801</t>
  </si>
  <si>
    <t>BV4630 .L5 1855</t>
  </si>
  <si>
    <t>0                      BV 4630000L  5           1855</t>
  </si>
  <si>
    <t>Christian virtues and the means for obtaining them / newly translated from the Italian, and edited by Robert A. Coffin.</t>
  </si>
  <si>
    <t>New York : E. Dunigan and brother, 1855.</t>
  </si>
  <si>
    <t>1855</t>
  </si>
  <si>
    <t>2008-07-27</t>
  </si>
  <si>
    <t>3943682589:eng</t>
  </si>
  <si>
    <t>12619715</t>
  </si>
  <si>
    <t>991000715489702656</t>
  </si>
  <si>
    <t>2264495750002656</t>
  </si>
  <si>
    <t>32285000967637</t>
  </si>
  <si>
    <t>893702370</t>
  </si>
  <si>
    <t>BV4630 .R85 1952</t>
  </si>
  <si>
    <t>0                      BV 4630000R  85          1952</t>
  </si>
  <si>
    <t>Teaching the Christian virtues / William H. Russell.</t>
  </si>
  <si>
    <t>Russell, W. H. (William Henry), 1895-</t>
  </si>
  <si>
    <t>Milwaukee : Bruce Pub. Co., [1952]</t>
  </si>
  <si>
    <t>1996-04-28</t>
  </si>
  <si>
    <t>4806445:eng</t>
  </si>
  <si>
    <t>2330124</t>
  </si>
  <si>
    <t>991004081539702656</t>
  </si>
  <si>
    <t>2263721680002656</t>
  </si>
  <si>
    <t>32285000967645</t>
  </si>
  <si>
    <t>893235037</t>
  </si>
  <si>
    <t>BV4630 .U41 1882</t>
  </si>
  <si>
    <t>0                      BV 4630000U  41          1882</t>
  </si>
  <si>
    <t>The groundwork of the Christian virtues : a course of lectures / by Bishop Ullathorne.</t>
  </si>
  <si>
    <t>Ullathorne, William Bernard, 1806-1889.</t>
  </si>
  <si>
    <t>London : Burns and Oates, 1882.</t>
  </si>
  <si>
    <t>1882</t>
  </si>
  <si>
    <t>2001-06-20</t>
  </si>
  <si>
    <t>45867029:eng</t>
  </si>
  <si>
    <t>6715701</t>
  </si>
  <si>
    <t>991005030849702656</t>
  </si>
  <si>
    <t>2258368660002656</t>
  </si>
  <si>
    <t>32285000967660</t>
  </si>
  <si>
    <t>893437042</t>
  </si>
  <si>
    <t>BV4633 .T5 1960</t>
  </si>
  <si>
    <t>0                      BV 4633000T  5           1960</t>
  </si>
  <si>
    <t>Love, power, and justice : ontological analyses and ethical applications / Paul Tillich.</t>
  </si>
  <si>
    <t>London ; New York : Oxford University Press, 1960, c1954, 1968 printing.</t>
  </si>
  <si>
    <t>1999-10-12</t>
  </si>
  <si>
    <t>414640:eng</t>
  </si>
  <si>
    <t>12401844</t>
  </si>
  <si>
    <t>991000681579702656</t>
  </si>
  <si>
    <t>2259463990002656</t>
  </si>
  <si>
    <t>32285000967678</t>
  </si>
  <si>
    <t>893897121</t>
  </si>
  <si>
    <t>BV4633 .T5 1960a</t>
  </si>
  <si>
    <t>0                      BV 4633000T  5           1960a</t>
  </si>
  <si>
    <t>New York : Oxford University Press, 1960, c1954.</t>
  </si>
  <si>
    <t>A Galaxy Book GB38</t>
  </si>
  <si>
    <t>2004-11-09</t>
  </si>
  <si>
    <t>387140</t>
  </si>
  <si>
    <t>991002650969702656</t>
  </si>
  <si>
    <t>2258226560002656</t>
  </si>
  <si>
    <t>32285000967686</t>
  </si>
  <si>
    <t>893886537</t>
  </si>
  <si>
    <t>BV4635 .G813 1963</t>
  </si>
  <si>
    <t>0                      BV 4635000G  813         1963</t>
  </si>
  <si>
    <t>The word of God on faith, hope and charity / by Romano Guardini. Translated by Stella Lange.</t>
  </si>
  <si>
    <t>Chicago : Regnery, 1963.</t>
  </si>
  <si>
    <t>1996-06-11</t>
  </si>
  <si>
    <t>9390507:eng</t>
  </si>
  <si>
    <t>814364</t>
  </si>
  <si>
    <t>991003292379702656</t>
  </si>
  <si>
    <t>2270289300002656</t>
  </si>
  <si>
    <t>32285000967694</t>
  </si>
  <si>
    <t>893799566</t>
  </si>
  <si>
    <t>BV4635 .N48 1976</t>
  </si>
  <si>
    <t>0                      BV 4635000N  48          1976</t>
  </si>
  <si>
    <t>The theological papers of John Henry Newman on faith and certainty / selected and edited by J. Derek Holmes ; partly prepared for publication by Hugo M. de Achaval ; with a note of introd. by Charles Stephen Dessain.</t>
  </si>
  <si>
    <t>Newman, John Henry, 1801-1890.</t>
  </si>
  <si>
    <t>Oxford [Eng.] : Clarendon Press, 1976.</t>
  </si>
  <si>
    <t>1992-04-22</t>
  </si>
  <si>
    <t>1955377:eng</t>
  </si>
  <si>
    <t>2165169</t>
  </si>
  <si>
    <t>991004034389702656</t>
  </si>
  <si>
    <t>2267730150002656</t>
  </si>
  <si>
    <t>9780199200719</t>
  </si>
  <si>
    <t>32285000967728</t>
  </si>
  <si>
    <t>893900713</t>
  </si>
  <si>
    <t>BV4637 .A68 1992</t>
  </si>
  <si>
    <t>0                      BV 4637000A  68          1992</t>
  </si>
  <si>
    <t>Faith and unbelief : uncertainty and atheism / Herwig Arts.</t>
  </si>
  <si>
    <t>Arts, Herwig.</t>
  </si>
  <si>
    <t>Collegeville, Minn. : Liturgical Press, c1992.</t>
  </si>
  <si>
    <t>1999-11-07</t>
  </si>
  <si>
    <t>1993-12-22</t>
  </si>
  <si>
    <t>28775599:eng</t>
  </si>
  <si>
    <t>26129280</t>
  </si>
  <si>
    <t>991002046439702656</t>
  </si>
  <si>
    <t>2272784500002656</t>
  </si>
  <si>
    <t>9780814620106</t>
  </si>
  <si>
    <t>32285001816965</t>
  </si>
  <si>
    <t>893433421</t>
  </si>
  <si>
    <t>BV4637 .C424 1988</t>
  </si>
  <si>
    <t>0                      BV 4637000C  424         1988</t>
  </si>
  <si>
    <t>Fostering faith : a minister's guide to faith development / Gary L. Chamberlain.</t>
  </si>
  <si>
    <t>Chamberlain, Gary.</t>
  </si>
  <si>
    <t>2008-06-18</t>
  </si>
  <si>
    <t>17820894:eng</t>
  </si>
  <si>
    <t>18382763</t>
  </si>
  <si>
    <t>991001341419702656</t>
  </si>
  <si>
    <t>2259271850002656</t>
  </si>
  <si>
    <t>9780809130283</t>
  </si>
  <si>
    <t>32285000128222</t>
  </si>
  <si>
    <t>893614988</t>
  </si>
  <si>
    <t>BV4637 .F658 1996</t>
  </si>
  <si>
    <t>0                      BV 4637000F  658         1996</t>
  </si>
  <si>
    <t>Faithful change : the personal and public challenges of postmodern life / James W. Fowler.</t>
  </si>
  <si>
    <t>Fowler, James W., 1940-</t>
  </si>
  <si>
    <t>2005-09-27</t>
  </si>
  <si>
    <t>39824637:eng</t>
  </si>
  <si>
    <t>34244070</t>
  </si>
  <si>
    <t>991005423219702656</t>
  </si>
  <si>
    <t>2272051560002656</t>
  </si>
  <si>
    <t>9780687017300</t>
  </si>
  <si>
    <t>32285003303012</t>
  </si>
  <si>
    <t>893790004</t>
  </si>
  <si>
    <t>BV4637 .P45 1972</t>
  </si>
  <si>
    <t>0                      BV 4637000P  45          1972</t>
  </si>
  <si>
    <t>Problems of religious knowledge / Terence Penelhum.</t>
  </si>
  <si>
    <t>Penelhum, Terence, 1929-</t>
  </si>
  <si>
    <t>[New York] Herder and Herder [1972, c1971]</t>
  </si>
  <si>
    <t>Philosophy of religion series</t>
  </si>
  <si>
    <t>1997-02-14</t>
  </si>
  <si>
    <t>1995-07-31</t>
  </si>
  <si>
    <t>1383627:eng</t>
  </si>
  <si>
    <t>334467</t>
  </si>
  <si>
    <t>991002395409702656</t>
  </si>
  <si>
    <t>2257405600002656</t>
  </si>
  <si>
    <t>32285002060993</t>
  </si>
  <si>
    <t>893616065</t>
  </si>
  <si>
    <t>BV4637 .P68 1975</t>
  </si>
  <si>
    <t>0                      BV 4637000P  68          1975</t>
  </si>
  <si>
    <t>A reason to live! A reason to die! : a new look at faith in God / John Powell.</t>
  </si>
  <si>
    <t>[Niles, Ill. ; Argus Communications], c1975</t>
  </si>
  <si>
    <t>558432:eng</t>
  </si>
  <si>
    <t>2042035</t>
  </si>
  <si>
    <t>991005328449702656</t>
  </si>
  <si>
    <t>2271964940002656</t>
  </si>
  <si>
    <t>9780913592618</t>
  </si>
  <si>
    <t>32285005539407</t>
  </si>
  <si>
    <t>893594858</t>
  </si>
  <si>
    <t>BV4637 .R34213</t>
  </si>
  <si>
    <t>0                      BV 4637000R  34213</t>
  </si>
  <si>
    <t>Meditations on freedom and the spirit / Karl Rahner ; [translated from the German by Rosaleen Ockenden, David Smith, and Cecily Bennett].</t>
  </si>
  <si>
    <t>Rahner, Karl, 1904-1984.</t>
  </si>
  <si>
    <t>1998-02-05</t>
  </si>
  <si>
    <t>4160980089:eng</t>
  </si>
  <si>
    <t>3649633</t>
  </si>
  <si>
    <t>991004486829702656</t>
  </si>
  <si>
    <t>2255760750002656</t>
  </si>
  <si>
    <t>9780816421626</t>
  </si>
  <si>
    <t>32285000967769</t>
  </si>
  <si>
    <t>893618719</t>
  </si>
  <si>
    <t>BV4637 .S3813 1984</t>
  </si>
  <si>
    <t>0                      BV 4637000S  3813        1984</t>
  </si>
  <si>
    <t>Faith and ideologies / Juan Luis Segundo ; translated from the Spanish by John Drury.</t>
  </si>
  <si>
    <t>Segundo, Juan Luis.</t>
  </si>
  <si>
    <t>Maryknoll, N.Y. : Orbis Books, c1984.</t>
  </si>
  <si>
    <t>Jesus of Nazareth, yesterday and today ; v. 1</t>
  </si>
  <si>
    <t>2004-09-20</t>
  </si>
  <si>
    <t>4982968:eng</t>
  </si>
  <si>
    <t>9968940</t>
  </si>
  <si>
    <t>991000290759702656</t>
  </si>
  <si>
    <t>2262790480002656</t>
  </si>
  <si>
    <t>9780883441275</t>
  </si>
  <si>
    <t>32285000967777</t>
  </si>
  <si>
    <t>893884276</t>
  </si>
  <si>
    <t>BV4638 .C28</t>
  </si>
  <si>
    <t>0                      BV 4638000C  28</t>
  </si>
  <si>
    <t>Time invades the cathedral : tension in the school of hope / by Walter H. Capps.</t>
  </si>
  <si>
    <t>Capps, Walter H.</t>
  </si>
  <si>
    <t>Philadelphia, Fortress Press [1972]</t>
  </si>
  <si>
    <t>1998-02-17</t>
  </si>
  <si>
    <t>1351882:eng</t>
  </si>
  <si>
    <t>303971</t>
  </si>
  <si>
    <t>991002260569702656</t>
  </si>
  <si>
    <t>2272686170002656</t>
  </si>
  <si>
    <t>9780800601065</t>
  </si>
  <si>
    <t>32285000967843</t>
  </si>
  <si>
    <t>893609655</t>
  </si>
  <si>
    <t>BV4638 .E4413 1973</t>
  </si>
  <si>
    <t>0                      BV 4638000E  4413        1973</t>
  </si>
  <si>
    <t>Hope in time of abandonment / by Jacques Ellul. Translated by C. Edward Hopkin.</t>
  </si>
  <si>
    <t>New York : Seabury Press, [1973]</t>
  </si>
  <si>
    <t>2005-01-03</t>
  </si>
  <si>
    <t>179421098:eng</t>
  </si>
  <si>
    <t>649938</t>
  </si>
  <si>
    <t>991003101029702656</t>
  </si>
  <si>
    <t>2258974010002656</t>
  </si>
  <si>
    <t>9780816402472</t>
  </si>
  <si>
    <t>32285000967868</t>
  </si>
  <si>
    <t>893518153</t>
  </si>
  <si>
    <t>BV4638 .F84 1970</t>
  </si>
  <si>
    <t>0                      BV 4638000F  84          1970</t>
  </si>
  <si>
    <t>The Future of hope : [essays by Bloch, Fackenheim, Moltmann, Metz, Capps] / edited by Walter H. Capps.</t>
  </si>
  <si>
    <t>Philadelphia : Fortress Press, [1970]</t>
  </si>
  <si>
    <t>1998-04-17</t>
  </si>
  <si>
    <t>57581104:eng</t>
  </si>
  <si>
    <t>87176</t>
  </si>
  <si>
    <t>991000518719702656</t>
  </si>
  <si>
    <t>2268804210002656</t>
  </si>
  <si>
    <t>32285000967876</t>
  </si>
  <si>
    <t>893790591</t>
  </si>
  <si>
    <t>BV4638 .G73 2001</t>
  </si>
  <si>
    <t>0                      BV 4638000G  73          2001</t>
  </si>
  <si>
    <t>The outrageous pursuit of hope : prophetic dreams for the twenty-first century / Mary C. Grey.</t>
  </si>
  <si>
    <t>Grey, Mary C.</t>
  </si>
  <si>
    <t>New York : Crossroad Pub. Co., c2001.</t>
  </si>
  <si>
    <t>2001-06-21</t>
  </si>
  <si>
    <t>2001-04-03</t>
  </si>
  <si>
    <t>838348385:eng</t>
  </si>
  <si>
    <t>44972160</t>
  </si>
  <si>
    <t>991003517979702656</t>
  </si>
  <si>
    <t>2270343160002656</t>
  </si>
  <si>
    <t>9780824518820</t>
  </si>
  <si>
    <t>32285004309596</t>
  </si>
  <si>
    <t>893531255</t>
  </si>
  <si>
    <t>BV4638 .M32 1978</t>
  </si>
  <si>
    <t>0                      BV 4638000M  32          1978</t>
  </si>
  <si>
    <t>Christian hope / John Macquarrie.</t>
  </si>
  <si>
    <t>Macquarrie, John.</t>
  </si>
  <si>
    <t>New York : Seabury, 1978.</t>
  </si>
  <si>
    <t>1996-11-12</t>
  </si>
  <si>
    <t>14522967:eng</t>
  </si>
  <si>
    <t>4114608</t>
  </si>
  <si>
    <t>991004589989702656</t>
  </si>
  <si>
    <t>2271937330002656</t>
  </si>
  <si>
    <t>9780816403882</t>
  </si>
  <si>
    <t>32285000967926</t>
  </si>
  <si>
    <t>893895186</t>
  </si>
  <si>
    <t>BV4638 .M5513</t>
  </si>
  <si>
    <t>0                      BV 4638000M  5513</t>
  </si>
  <si>
    <t>The experiment hope / Jürgen Moltmann ; edited, translated, with a foreword by M. Douglas Meeks.</t>
  </si>
  <si>
    <t>Moltmann, Jürgen.</t>
  </si>
  <si>
    <t>Philadelphia : Fortress Press, [1975]</t>
  </si>
  <si>
    <t>1997-09-25</t>
  </si>
  <si>
    <t>350501659:eng</t>
  </si>
  <si>
    <t>1442591</t>
  </si>
  <si>
    <t>991003758719702656</t>
  </si>
  <si>
    <t>2256715290002656</t>
  </si>
  <si>
    <t>9780800604073</t>
  </si>
  <si>
    <t>32285000967934</t>
  </si>
  <si>
    <t>893429165</t>
  </si>
  <si>
    <t>BV4638 .M6 1963</t>
  </si>
  <si>
    <t>0                      BV 4638000M  6           1963</t>
  </si>
  <si>
    <t>The meaning of hope : a biblical exposition with concordance / by C.F.D. Moule.</t>
  </si>
  <si>
    <t>Moule, C. F. D. (Charles Francis Digby), 1908-2007.</t>
  </si>
  <si>
    <t>Philadelphia, Fortress Press [1963]</t>
  </si>
  <si>
    <t>Facet books. Biblical series ; 5</t>
  </si>
  <si>
    <t>2010-10-22</t>
  </si>
  <si>
    <t>197368640:eng</t>
  </si>
  <si>
    <t>322134</t>
  </si>
  <si>
    <t>991002329569702656</t>
  </si>
  <si>
    <t>2255534650002656</t>
  </si>
  <si>
    <t>32285000967959</t>
  </si>
  <si>
    <t>893421211</t>
  </si>
  <si>
    <t>BV4638 .O413 1963</t>
  </si>
  <si>
    <t>0                      BV 4638000O  413         1963</t>
  </si>
  <si>
    <t>Christian hope / by Bernard Olivier. Translated by Paul Barrett.</t>
  </si>
  <si>
    <t>Olivier, B. (Bernard)</t>
  </si>
  <si>
    <t>Westminster, Md. : Newman Press, 1963.</t>
  </si>
  <si>
    <t>1993-02-24</t>
  </si>
  <si>
    <t>2716986:eng</t>
  </si>
  <si>
    <t>1869502</t>
  </si>
  <si>
    <t>991003920289702656</t>
  </si>
  <si>
    <t>2263009660002656</t>
  </si>
  <si>
    <t>32285000967967</t>
  </si>
  <si>
    <t>893693321</t>
  </si>
  <si>
    <t>BV4639 .A3413 1990</t>
  </si>
  <si>
    <t>0                      BV 4639000A  3413        1990</t>
  </si>
  <si>
    <t>The mirror of charity / by Aelred of Rievaulx ; translated by Elizabeth Connor ; introduction and notes by Charles Dumont.</t>
  </si>
  <si>
    <t>Aelred, of Rievaulx, Saint, 1110-1167.</t>
  </si>
  <si>
    <t>Kalamazoo, Mich. : Cistercian Publications, 1990.</t>
  </si>
  <si>
    <t>Cistercian Fathers series ; no. 17</t>
  </si>
  <si>
    <t>2008-07-14</t>
  </si>
  <si>
    <t>1991-05-01</t>
  </si>
  <si>
    <t>48793706:eng</t>
  </si>
  <si>
    <t>22738002</t>
  </si>
  <si>
    <t>991001811089702656</t>
  </si>
  <si>
    <t>2256086890002656</t>
  </si>
  <si>
    <t>9780879077174</t>
  </si>
  <si>
    <t>32285000570951</t>
  </si>
  <si>
    <t>893626837</t>
  </si>
  <si>
    <t>BV4639 .B69 2004</t>
  </si>
  <si>
    <t>0                      BV 4639000B  69          2004</t>
  </si>
  <si>
    <t>Repenting of religion : turning from judgment to the love of God / Gregory A. Boyd.</t>
  </si>
  <si>
    <t>Boyd, Gregory A., 1957-</t>
  </si>
  <si>
    <t>Grand Rapids, Mich. : Baker Books, c2004.</t>
  </si>
  <si>
    <t>2010-10-06</t>
  </si>
  <si>
    <t>959318:eng</t>
  </si>
  <si>
    <t>54611367</t>
  </si>
  <si>
    <t>991004423079702656</t>
  </si>
  <si>
    <t>2269471320002656</t>
  </si>
  <si>
    <t>9780801065064</t>
  </si>
  <si>
    <t>32285005010771</t>
  </si>
  <si>
    <t>893788683</t>
  </si>
  <si>
    <t>BV4639 .B72 2003</t>
  </si>
  <si>
    <t>0                      BV 4639000B  72          2003</t>
  </si>
  <si>
    <t>Christian love / Bernard V. Brady.</t>
  </si>
  <si>
    <t>Brady, Bernard V. (Bernard Vincent), 1957-</t>
  </si>
  <si>
    <t>Washington, D.C. : Georgetown University Press, c2003.</t>
  </si>
  <si>
    <t>2006-02-11</t>
  </si>
  <si>
    <t>1034962:eng</t>
  </si>
  <si>
    <t>50684735</t>
  </si>
  <si>
    <t>991004683319702656</t>
  </si>
  <si>
    <t>2271840410002656</t>
  </si>
  <si>
    <t>9780878408948</t>
  </si>
  <si>
    <t>32285005144299</t>
  </si>
  <si>
    <t>893507114</t>
  </si>
  <si>
    <t>BV4639 .D387 1973</t>
  </si>
  <si>
    <t>0                      BV 4639000D  387         1973</t>
  </si>
  <si>
    <t>The philosophy of Jesus, real love / by Jules A. Delanghe.</t>
  </si>
  <si>
    <t>Delanghe, Jules A.</t>
  </si>
  <si>
    <t>Philadelphia : Dorrance, c1973.</t>
  </si>
  <si>
    <t>1992-03-26</t>
  </si>
  <si>
    <t>1707438:eng</t>
  </si>
  <si>
    <t>672035</t>
  </si>
  <si>
    <t>991003128699702656</t>
  </si>
  <si>
    <t>2267897520002656</t>
  </si>
  <si>
    <t>9780805918212</t>
  </si>
  <si>
    <t>32285000968023</t>
  </si>
  <si>
    <t>893880842</t>
  </si>
  <si>
    <t>BV4639 .D65 1985b</t>
  </si>
  <si>
    <t>0                      BV 4639000D  65          1985b</t>
  </si>
  <si>
    <t>The Capacity to love / Jack Dominian.</t>
  </si>
  <si>
    <t>Dominian, Jack, 1929-2014.</t>
  </si>
  <si>
    <t>Mahwah, NJ : Paulist Press, 1985.</t>
  </si>
  <si>
    <t>5032797:eng</t>
  </si>
  <si>
    <t>12848311</t>
  </si>
  <si>
    <t>991000746219702656</t>
  </si>
  <si>
    <t>2271506020002656</t>
  </si>
  <si>
    <t>9780809127269</t>
  </si>
  <si>
    <t>32285001000677</t>
  </si>
  <si>
    <t>893608242</t>
  </si>
  <si>
    <t>BV4639 .F56</t>
  </si>
  <si>
    <t>0                      BV 4639000F  56</t>
  </si>
  <si>
    <t>Of love and of suffering : preface to Christian ethics for heathen philosophers / by Robert E. Fitch, with a postscript for heathen theologians.</t>
  </si>
  <si>
    <t>Fitch, Robert Elliot, 1902-</t>
  </si>
  <si>
    <t>Philadelphia, Westminster Press [1970]</t>
  </si>
  <si>
    <t>1999-06-30</t>
  </si>
  <si>
    <t>1819001367:eng</t>
  </si>
  <si>
    <t>96527</t>
  </si>
  <si>
    <t>991000589839702656</t>
  </si>
  <si>
    <t>2271338640002656</t>
  </si>
  <si>
    <t>9780664248925</t>
  </si>
  <si>
    <t>32285000968049</t>
  </si>
  <si>
    <t>893702253</t>
  </si>
  <si>
    <t>BV4639 .I59 1992</t>
  </si>
  <si>
    <t>0                      BV 4639000I  59          1992</t>
  </si>
  <si>
    <t>The recovery of love : Christian mysticism and the addictive society / Jeffrey D. Imbach.</t>
  </si>
  <si>
    <t>Imbach, Jeffrey D.</t>
  </si>
  <si>
    <t>New York : Crossroad, c1992.</t>
  </si>
  <si>
    <t>1997-06-16</t>
  </si>
  <si>
    <t>1992-05-15</t>
  </si>
  <si>
    <t>794558196:eng</t>
  </si>
  <si>
    <t>24670785</t>
  </si>
  <si>
    <t>991001951819702656</t>
  </si>
  <si>
    <t>2267451830002656</t>
  </si>
  <si>
    <t>9780824511166</t>
  </si>
  <si>
    <t>32285001122414</t>
  </si>
  <si>
    <t>893433291</t>
  </si>
  <si>
    <t>BV4639 .K39</t>
  </si>
  <si>
    <t>0                      BV 4639000K  39</t>
  </si>
  <si>
    <t>Caring : how can we love one another? / Morton T. Kelsey.</t>
  </si>
  <si>
    <t>New York : Paulist Press, c1981.</t>
  </si>
  <si>
    <t>466280:eng</t>
  </si>
  <si>
    <t>7486360</t>
  </si>
  <si>
    <t>991005119459702656</t>
  </si>
  <si>
    <t>2270348480002656</t>
  </si>
  <si>
    <t>9780809123667</t>
  </si>
  <si>
    <t>32285000968098</t>
  </si>
  <si>
    <t>893883362</t>
  </si>
  <si>
    <t>BV4639 .K413 1967</t>
  </si>
  <si>
    <t>0                      BV 4639000K  413         1967</t>
  </si>
  <si>
    <t>Loneliness and love / [by] L. vander Kerken. Translated with a foreword by J. Donceel.</t>
  </si>
  <si>
    <t>Kerken, L. vander (Libert), 1910-</t>
  </si>
  <si>
    <t>New York : Sheed &amp; Ward, [1967]</t>
  </si>
  <si>
    <t>2001-12-19</t>
  </si>
  <si>
    <t>1992-03-04</t>
  </si>
  <si>
    <t>9566173555:eng</t>
  </si>
  <si>
    <t>620398</t>
  </si>
  <si>
    <t>991003063769702656</t>
  </si>
  <si>
    <t>2256427940002656</t>
  </si>
  <si>
    <t>32285000968114</t>
  </si>
  <si>
    <t>893592155</t>
  </si>
  <si>
    <t>BV4639 .L665 1992</t>
  </si>
  <si>
    <t>0                      BV 4639000L  665         1992</t>
  </si>
  <si>
    <t>The Love commandments : essays in Christian ethics and moral philosophy / Gene Outka ... [et al.] ; edited by Edmund N. Santurri and William Werpehowski.</t>
  </si>
  <si>
    <t>Washington, D.C. : Georgetown University Press, 1992.</t>
  </si>
  <si>
    <t>2009-02-18</t>
  </si>
  <si>
    <t>1993-09-14</t>
  </si>
  <si>
    <t>890000536:eng</t>
  </si>
  <si>
    <t>22494067</t>
  </si>
  <si>
    <t>991001784989702656</t>
  </si>
  <si>
    <t>2258612320002656</t>
  </si>
  <si>
    <t>9780878405145</t>
  </si>
  <si>
    <t>32285001766533</t>
  </si>
  <si>
    <t>893684644</t>
  </si>
  <si>
    <t>BV4639 .M265 1965</t>
  </si>
  <si>
    <t>0                      BV 4639000M  265         1965</t>
  </si>
  <si>
    <t>The theology and practice of love / by Charles M. Magsam.</t>
  </si>
  <si>
    <t>Magsam, Charles M.</t>
  </si>
  <si>
    <t>Baltimore : Helicon, [1965]</t>
  </si>
  <si>
    <t>2009-09-29</t>
  </si>
  <si>
    <t>2679877:eng</t>
  </si>
  <si>
    <t>2016963</t>
  </si>
  <si>
    <t>991003979409702656</t>
  </si>
  <si>
    <t>2258404310002656</t>
  </si>
  <si>
    <t>32285000968130</t>
  </si>
  <si>
    <t>893618069</t>
  </si>
  <si>
    <t>BV4639 .M281</t>
  </si>
  <si>
    <t>0                      BV 4639000M  281</t>
  </si>
  <si>
    <t>Stranger to self-hatred : a glimpse of Jesus / by Brennan Manning.</t>
  </si>
  <si>
    <t>Manning, Brennan.</t>
  </si>
  <si>
    <t>Denville, N.J. : Dimension Books, c1982.</t>
  </si>
  <si>
    <t>1994-11-18</t>
  </si>
  <si>
    <t>32118235:eng</t>
  </si>
  <si>
    <t>8449278</t>
  </si>
  <si>
    <t>991005244179702656</t>
  </si>
  <si>
    <t>2258127590002656</t>
  </si>
  <si>
    <t>9780871931566</t>
  </si>
  <si>
    <t>32285000968148</t>
  </si>
  <si>
    <t>893326451</t>
  </si>
  <si>
    <t>BV4639 .M36 1971</t>
  </si>
  <si>
    <t>0                      BV 4639000M  36          1971</t>
  </si>
  <si>
    <t>On caring / Milton Mayeroff.</t>
  </si>
  <si>
    <t>Mayeroff, Milton, 1925-</t>
  </si>
  <si>
    <t>New York : Harper &amp; Row, [1971]</t>
  </si>
  <si>
    <t>[1st U.S. ed.]</t>
  </si>
  <si>
    <t>World perspectives ; v. 43</t>
  </si>
  <si>
    <t>1993-09-13</t>
  </si>
  <si>
    <t>1244959:eng</t>
  </si>
  <si>
    <t>122439</t>
  </si>
  <si>
    <t>991000683029702656</t>
  </si>
  <si>
    <t>2263115110002656</t>
  </si>
  <si>
    <t>32285001776987</t>
  </si>
  <si>
    <t>893425938</t>
  </si>
  <si>
    <t>BV4639 .M43 1981</t>
  </si>
  <si>
    <t>0                      BV 4639000M  43          1981</t>
  </si>
  <si>
    <t>Arise, a Christian psychology of love / by Chester P. Michael and Marie C. Norrisey.</t>
  </si>
  <si>
    <t>Michael, Chester P.</t>
  </si>
  <si>
    <t>Charlottesville, Va. : Open Door, c1981.</t>
  </si>
  <si>
    <t>4239087:eng</t>
  </si>
  <si>
    <t>11399629</t>
  </si>
  <si>
    <t>991000017349702656</t>
  </si>
  <si>
    <t>2268359620002656</t>
  </si>
  <si>
    <t>9780940136007</t>
  </si>
  <si>
    <t>32285005589519</t>
  </si>
  <si>
    <t>893521311</t>
  </si>
  <si>
    <t>BV4639 .S5 1944</t>
  </si>
  <si>
    <t>0                      BV 4639000S  5           1944</t>
  </si>
  <si>
    <t>Love one another / by Rt. Rev. Fulton J. Sheen.</t>
  </si>
  <si>
    <t>New York : P. J. Kenedy &amp; sons, [1944]</t>
  </si>
  <si>
    <t>1995-08-03</t>
  </si>
  <si>
    <t>2695202:eng</t>
  </si>
  <si>
    <t>2019534</t>
  </si>
  <si>
    <t>991003980219702656</t>
  </si>
  <si>
    <t>2260074820002656</t>
  </si>
  <si>
    <t>32285000968221</t>
  </si>
  <si>
    <t>893410967</t>
  </si>
  <si>
    <t>BV4639 .V258</t>
  </si>
  <si>
    <t>0                      BV 4639000V  258</t>
  </si>
  <si>
    <t>The mystery of transforming love / by Adrian Van Kaam.</t>
  </si>
  <si>
    <t>2001-07-25</t>
  </si>
  <si>
    <t>31435793:eng</t>
  </si>
  <si>
    <t>8353517</t>
  </si>
  <si>
    <t>991005234449702656</t>
  </si>
  <si>
    <t>2258336990002656</t>
  </si>
  <si>
    <t>9780871931764</t>
  </si>
  <si>
    <t>32285000968262</t>
  </si>
  <si>
    <t>893527143</t>
  </si>
  <si>
    <t>BV4639 .W484 1968</t>
  </si>
  <si>
    <t>0                      BV 4639000W  484         1968</t>
  </si>
  <si>
    <t>The spirit and the forms of love / by Daniel Day Williams.</t>
  </si>
  <si>
    <t>Williams, Daniel Day, 1910-1973.</t>
  </si>
  <si>
    <t>New York, Harper &amp; Row [1968]</t>
  </si>
  <si>
    <t>483256:eng</t>
  </si>
  <si>
    <t>294581</t>
  </si>
  <si>
    <t>991002232399702656</t>
  </si>
  <si>
    <t>2268605280002656</t>
  </si>
  <si>
    <t>32285000968296</t>
  </si>
  <si>
    <t>893886001</t>
  </si>
  <si>
    <t>BV4639.N8 D5 1976</t>
  </si>
  <si>
    <t>0                      BV 4639000N  8                  D  5           1976</t>
  </si>
  <si>
    <t>The Christian meaning of love : a study of the thought of Anders Nygren / Donald Dietz.</t>
  </si>
  <si>
    <t>Dietz, Donald.</t>
  </si>
  <si>
    <t>San Antonio, Tx : [s.n.] 1976.</t>
  </si>
  <si>
    <t>288893681:eng</t>
  </si>
  <si>
    <t>2794040</t>
  </si>
  <si>
    <t>991005370199702656</t>
  </si>
  <si>
    <t>2264515040002656</t>
  </si>
  <si>
    <t>32285000968171</t>
  </si>
  <si>
    <t>893345095</t>
  </si>
  <si>
    <t>BV4645 .L471 1999</t>
  </si>
  <si>
    <t>0                      BV 4645000L  471         1999</t>
  </si>
  <si>
    <t>Leonardus Lessius' De iustitia et iure / Louis Baeck ... [et al.].</t>
  </si>
  <si>
    <t>Baeck, Louis.</t>
  </si>
  <si>
    <t>D©ơsseldorf : Verlag Wirtschaft und Finanzen, c1999.</t>
  </si>
  <si>
    <t>ger</t>
  </si>
  <si>
    <t xml:space="preserve">gw </t>
  </si>
  <si>
    <t>Die Handelsblatt-Bibliothek "Klassiker der National©œkonomie"</t>
  </si>
  <si>
    <t>2010-12-03</t>
  </si>
  <si>
    <t>2000-04-11</t>
  </si>
  <si>
    <t>45154229:ger</t>
  </si>
  <si>
    <t>41899054</t>
  </si>
  <si>
    <t>991003037459702656</t>
  </si>
  <si>
    <t>2255841040002656</t>
  </si>
  <si>
    <t>9783878811374</t>
  </si>
  <si>
    <t>32285003676201</t>
  </si>
  <si>
    <t>893592123</t>
  </si>
  <si>
    <t>BV4647.C5 D77</t>
  </si>
  <si>
    <t>0                      BV 4647000C  5                  D  77</t>
  </si>
  <si>
    <t>A call to virginity? / Thomas Dubay.</t>
  </si>
  <si>
    <t>Dubay, Thomas.</t>
  </si>
  <si>
    <t>Huntington, IN : Our Sunday Visitor, inc., c1977.</t>
  </si>
  <si>
    <t>6560094:eng</t>
  </si>
  <si>
    <t>2962875</t>
  </si>
  <si>
    <t>991004294989702656</t>
  </si>
  <si>
    <t>2269751250002656</t>
  </si>
  <si>
    <t>9780879737450</t>
  </si>
  <si>
    <t>32285000968361</t>
  </si>
  <si>
    <t>893875928</t>
  </si>
  <si>
    <t>BV4647.C5 G76 1985</t>
  </si>
  <si>
    <t>0                      BV 4647000C  5                  G  76          1985</t>
  </si>
  <si>
    <t>The courage to be chaste / Benedict J. Groeschel.</t>
  </si>
  <si>
    <t>Groeschel, Benedict J.</t>
  </si>
  <si>
    <t>2009-10-02</t>
  </si>
  <si>
    <t>1992-02-24</t>
  </si>
  <si>
    <t>2829735436:eng</t>
  </si>
  <si>
    <t>12355495</t>
  </si>
  <si>
    <t>991000676369702656</t>
  </si>
  <si>
    <t>2267445970002656</t>
  </si>
  <si>
    <t>9780809127054</t>
  </si>
  <si>
    <t>32285000975317</t>
  </si>
  <si>
    <t>893626401</t>
  </si>
  <si>
    <t>BV4647.F55 H35 1987</t>
  </si>
  <si>
    <t>0                      BV 4647000F  55                 H  35          1987</t>
  </si>
  <si>
    <t>Forgiving, present perfect / Marlene Halpin.</t>
  </si>
  <si>
    <t>Halpin, Marlene.</t>
  </si>
  <si>
    <t>Dubuque, Iowa : Religious Education Division, W.C. Brown Co., c1987.</t>
  </si>
  <si>
    <t>iau</t>
  </si>
  <si>
    <t>1998-10-02</t>
  </si>
  <si>
    <t>1993-12-28</t>
  </si>
  <si>
    <t>5221199283:eng</t>
  </si>
  <si>
    <t>18258161</t>
  </si>
  <si>
    <t>991001324169702656</t>
  </si>
  <si>
    <t>2255050530002656</t>
  </si>
  <si>
    <t>9780697022752</t>
  </si>
  <si>
    <t>32285001803815</t>
  </si>
  <si>
    <t>893321838</t>
  </si>
  <si>
    <t>BV4647.F7 W53 1996</t>
  </si>
  <si>
    <t>0                      BV 4647000F  7                  W  53          1996</t>
  </si>
  <si>
    <t>A Circle of friends : encountering the caring voices in your life / Robert J. Wicks ; Robert M. Hamma.</t>
  </si>
  <si>
    <t>Notre Dame, Ind. : Ave Maria Press, c1996.</t>
  </si>
  <si>
    <t>2002-12-04</t>
  </si>
  <si>
    <t>39044372:eng</t>
  </si>
  <si>
    <t>33969949</t>
  </si>
  <si>
    <t>991002592929702656</t>
  </si>
  <si>
    <t>2268382230002656</t>
  </si>
  <si>
    <t>9780877935742</t>
  </si>
  <si>
    <t>32285002272184</t>
  </si>
  <si>
    <t>893610028</t>
  </si>
  <si>
    <t>BV4647.H67 .R53 2000</t>
  </si>
  <si>
    <t>0                      BV 4647000H  67                 R  53          2000</t>
  </si>
  <si>
    <t>Living the hospitality of God / Lucien Richard.</t>
  </si>
  <si>
    <t>Richard, Lucien.</t>
  </si>
  <si>
    <t>New York : Paulist Press, c2000.</t>
  </si>
  <si>
    <t>2001-07-16</t>
  </si>
  <si>
    <t>2001-03-29</t>
  </si>
  <si>
    <t>34332341:eng</t>
  </si>
  <si>
    <t>44578968</t>
  </si>
  <si>
    <t>991003517239702656</t>
  </si>
  <si>
    <t>2267698480002656</t>
  </si>
  <si>
    <t>9780809139989</t>
  </si>
  <si>
    <t>32285004308689</t>
  </si>
  <si>
    <t>893868511</t>
  </si>
  <si>
    <t>BV4647.H67 P64 1999</t>
  </si>
  <si>
    <t>0                      BV 4647000H  67                 P  64          1999</t>
  </si>
  <si>
    <t>Making room : recovering hospitality as a Christian tradition / Christine D. Pohl.</t>
  </si>
  <si>
    <t>Pohl, Christine D.</t>
  </si>
  <si>
    <t>Grand Rapids, Mich. : W.B. Eerdmans, c1999.</t>
  </si>
  <si>
    <t>2006-07-03</t>
  </si>
  <si>
    <t>12228683:eng</t>
  </si>
  <si>
    <t>41338186</t>
  </si>
  <si>
    <t>991004781109702656</t>
  </si>
  <si>
    <t>2266721640002656</t>
  </si>
  <si>
    <t>9780802844316</t>
  </si>
  <si>
    <t>32285005188601</t>
  </si>
  <si>
    <t>893325779</t>
  </si>
  <si>
    <t>BV4647.H8 W4613 1988</t>
  </si>
  <si>
    <t>0                      BV 4647000H  8                  W  4613        1988</t>
  </si>
  <si>
    <t>Humility : solidarity of the humiliated : the transformation of an attitude and its social relevance in Graeco-Roman, Old Testament-Jewish, and Early Christian tradition / Klaus Wengst ; [translated by John Bowden from the German].</t>
  </si>
  <si>
    <t>Wengst, Klaus.</t>
  </si>
  <si>
    <t>Philadelphia : Fortress Press, 1988.</t>
  </si>
  <si>
    <t>1st Fortress Press ed.</t>
  </si>
  <si>
    <t>2004-10-13</t>
  </si>
  <si>
    <t>1990-02-16</t>
  </si>
  <si>
    <t>325161213:eng</t>
  </si>
  <si>
    <t>18014438</t>
  </si>
  <si>
    <t>991001292659702656</t>
  </si>
  <si>
    <t>2271430590002656</t>
  </si>
  <si>
    <t>9780800623203</t>
  </si>
  <si>
    <t>32285000038835</t>
  </si>
  <si>
    <t>893772492</t>
  </si>
  <si>
    <t>BV4647.J8 P53 1955</t>
  </si>
  <si>
    <t>0                      BV 4647000J  8                  P  53          1955</t>
  </si>
  <si>
    <t>Justice / Josef Pieper ; translated by Lawrence E. Lynch.</t>
  </si>
  <si>
    <t>Pieper, Josef, 1904-1997.</t>
  </si>
  <si>
    <t>[New York] : Pantheon Books, [1955]</t>
  </si>
  <si>
    <t>148078884:eng</t>
  </si>
  <si>
    <t>1948208</t>
  </si>
  <si>
    <t>991003947519702656</t>
  </si>
  <si>
    <t>2263558340002656</t>
  </si>
  <si>
    <t>32285000968445</t>
  </si>
  <si>
    <t>893611725</t>
  </si>
  <si>
    <t>BV4647.L56 S34 2000</t>
  </si>
  <si>
    <t>0                      BV 4647000L  56                 S  34          2000</t>
  </si>
  <si>
    <t>Hearing things : religion, illusion, and the American enlightenment / Leigh Eric Schmidt.</t>
  </si>
  <si>
    <t>Schmidt, Leigh Eric.</t>
  </si>
  <si>
    <t>Cambridge, Mass. : Harvard University Press, 2000.</t>
  </si>
  <si>
    <t>2001-04-19</t>
  </si>
  <si>
    <t>47956:eng</t>
  </si>
  <si>
    <t>43913252</t>
  </si>
  <si>
    <t>991003494789702656</t>
  </si>
  <si>
    <t>2263926000002656</t>
  </si>
  <si>
    <t>9780674003033</t>
  </si>
  <si>
    <t>32285004313614</t>
  </si>
  <si>
    <t>893262767</t>
  </si>
  <si>
    <t>BV4647.M4 B4 1945</t>
  </si>
  <si>
    <t>0                      BV 4647000M  4                  B  4           1945</t>
  </si>
  <si>
    <t>The quality of mercy : thoughts on the works of mercy / [by] the Rt. Rev. Hugh F. Blunt.</t>
  </si>
  <si>
    <t>Blunt, Hugh Francis, 1877-1957.</t>
  </si>
  <si>
    <t>Milwaukee : The Bruce publishing company, [1945]</t>
  </si>
  <si>
    <t>Religion and culture series; Joseph Husslein ... general editor</t>
  </si>
  <si>
    <t>2005-06-22</t>
  </si>
  <si>
    <t>48823775:eng</t>
  </si>
  <si>
    <t>2024852</t>
  </si>
  <si>
    <t>991003984339702656</t>
  </si>
  <si>
    <t>2264689310002656</t>
  </si>
  <si>
    <t>32285000968452</t>
  </si>
  <si>
    <t>893240870</t>
  </si>
  <si>
    <t>BV4647.M4 W67 1992</t>
  </si>
  <si>
    <t>0                      BV 4647000M  4                  W  67          1992</t>
  </si>
  <si>
    <t>The Works of mercy : new perspectives on ministry / Francis A. Eigo, editor.</t>
  </si>
  <si>
    <t>Villanova, Pa. : Villanova University Press, c1992.</t>
  </si>
  <si>
    <t>Proceedings of the Theology of Villanova University ; v. 24</t>
  </si>
  <si>
    <t>1993-01-14</t>
  </si>
  <si>
    <t>43992424:eng</t>
  </si>
  <si>
    <t>25047897</t>
  </si>
  <si>
    <t>991001974749702656</t>
  </si>
  <si>
    <t>2260697220002656</t>
  </si>
  <si>
    <t>9780877230830</t>
  </si>
  <si>
    <t>32285001485340</t>
  </si>
  <si>
    <t>893903642</t>
  </si>
  <si>
    <t>BV4647.P5 T35 2001</t>
  </si>
  <si>
    <t>0                      BV 4647000P  5                  T  35          2001</t>
  </si>
  <si>
    <t>The piety of John Witherspoon : pew, pulpit, and public forum / L. Gordon Tait.</t>
  </si>
  <si>
    <t>Tait, L. Gordon.</t>
  </si>
  <si>
    <t>Louisville, Ky. : Geneva Press, c2001.</t>
  </si>
  <si>
    <t>2001-03-27</t>
  </si>
  <si>
    <t>47815:eng</t>
  </si>
  <si>
    <t>43919811</t>
  </si>
  <si>
    <t>991003518419702656</t>
  </si>
  <si>
    <t>2268282730002656</t>
  </si>
  <si>
    <t>9780664501334</t>
  </si>
  <si>
    <t>32285004307699</t>
  </si>
  <si>
    <t>893805860</t>
  </si>
  <si>
    <t>BV4647.P6 D86 1982</t>
  </si>
  <si>
    <t>0                      BV 4647000P  6                  D  86          1982</t>
  </si>
  <si>
    <t>The Church of the Poor Devil / John S. Dunne.</t>
  </si>
  <si>
    <t>Dunne, John S., 1929-2013.</t>
  </si>
  <si>
    <t>New York : Macmillan ; London : Collier Macmillan, c1982.</t>
  </si>
  <si>
    <t>1995-10-12</t>
  </si>
  <si>
    <t>399079:eng</t>
  </si>
  <si>
    <t>8552741</t>
  </si>
  <si>
    <t>991000015599702656</t>
  </si>
  <si>
    <t>2257575150002656</t>
  </si>
  <si>
    <t>9780025339606</t>
  </si>
  <si>
    <t>32285000943273</t>
  </si>
  <si>
    <t>893595181</t>
  </si>
  <si>
    <t>BV4647.S48 G46 1984</t>
  </si>
  <si>
    <t>0                      BV 4647000S  48                 G  46          1984</t>
  </si>
  <si>
    <t>The Christian as a consumer / by Denise George.</t>
  </si>
  <si>
    <t>George, Denise.</t>
  </si>
  <si>
    <t>Philadelphia : Westminister Press, c1984.</t>
  </si>
  <si>
    <t>Potentials</t>
  </si>
  <si>
    <t>3464240:eng</t>
  </si>
  <si>
    <t>10277408</t>
  </si>
  <si>
    <t>991000344739702656</t>
  </si>
  <si>
    <t>2269092860002656</t>
  </si>
  <si>
    <t>9780664245184</t>
  </si>
  <si>
    <t>32285000968544</t>
  </si>
  <si>
    <t>893771554</t>
  </si>
  <si>
    <t>BV4647.S48 H63 1998</t>
  </si>
  <si>
    <t>0                      BV 4647000S  48                 H  63          1998</t>
  </si>
  <si>
    <t>Simple living : the path to joy and freedom / José Hobday.</t>
  </si>
  <si>
    <t>Hobday, José.</t>
  </si>
  <si>
    <t>New York : Continuum, 1998.</t>
  </si>
  <si>
    <t>1999-03-16</t>
  </si>
  <si>
    <t>41801921:eng</t>
  </si>
  <si>
    <t>39515955</t>
  </si>
  <si>
    <t>991002958089702656</t>
  </si>
  <si>
    <t>2260423680002656</t>
  </si>
  <si>
    <t>9780826408464</t>
  </si>
  <si>
    <t>32285003533451</t>
  </si>
  <si>
    <t>893409757</t>
  </si>
  <si>
    <t>BV4647.S48 M36 1998</t>
  </si>
  <si>
    <t>0                      BV 4647000S  48                 M  36          1998</t>
  </si>
  <si>
    <t>When true simplicity is gained : finding spiritual clarity in a complex world / by Martin Marty and Micah Marty.</t>
  </si>
  <si>
    <t>Marty, Martin E., 1928-</t>
  </si>
  <si>
    <t>Grand Rapids, Mich. : W.B. Eerdmans Pub.Co., c1998.</t>
  </si>
  <si>
    <t>2006-01-17</t>
  </si>
  <si>
    <t>42167838:eng</t>
  </si>
  <si>
    <t>38879381</t>
  </si>
  <si>
    <t>991004712559702656</t>
  </si>
  <si>
    <t>2255640870002656</t>
  </si>
  <si>
    <t>9780802842374</t>
  </si>
  <si>
    <t>32285005155196</t>
  </si>
  <si>
    <t>893776348</t>
  </si>
  <si>
    <t>BV4655 .B3 1920</t>
  </si>
  <si>
    <t>0                      BV 4655000B  3           1920</t>
  </si>
  <si>
    <t>The commandments explained according to the Munich or psychological method, for children of the intermediate and higher grades : based on the Baltimore Catechism (no. 2) an aid to catechists / by Rev. Joseph J. Baierl.</t>
  </si>
  <si>
    <t>Baierl, Joseph J. (Joseph John), 1884-1955.</t>
  </si>
  <si>
    <t>Rochester, N. Y. : The Seminary press, 1920.</t>
  </si>
  <si>
    <t>1920</t>
  </si>
  <si>
    <t>2009-12-02</t>
  </si>
  <si>
    <t>22826323:eng</t>
  </si>
  <si>
    <t>6561120</t>
  </si>
  <si>
    <t>991005005179702656</t>
  </si>
  <si>
    <t>2269274510002656</t>
  </si>
  <si>
    <t>32285000968551</t>
  </si>
  <si>
    <t>893694617</t>
  </si>
  <si>
    <t>BV4655 .B65 1971</t>
  </si>
  <si>
    <t>0                      BV 4655000B  65          1971</t>
  </si>
  <si>
    <t>Décalogue et morale chrétienne / Guy Bourgeault. Enquête patristique sur l'utilisation et l'interprétation chrétiennes du décalogue de c. 60 à c. 220.</t>
  </si>
  <si>
    <t>Bourgeault, Guy.</t>
  </si>
  <si>
    <t>Paris : Desclée ; Montréal : Bellarmin, 1971.</t>
  </si>
  <si>
    <t>Recherches publiées par les Facultés S. J. de Montréal, no. 2. Théologie</t>
  </si>
  <si>
    <t>2005-09-12</t>
  </si>
  <si>
    <t>181370741:fre</t>
  </si>
  <si>
    <t>555319</t>
  </si>
  <si>
    <t>991002981649702656</t>
  </si>
  <si>
    <t>2260386780002656</t>
  </si>
  <si>
    <t>32285000968569</t>
  </si>
  <si>
    <t>893616851</t>
  </si>
  <si>
    <t>BV4655 .G3 1937</t>
  </si>
  <si>
    <t>0                      BV 4655000G  3           1937</t>
  </si>
  <si>
    <t>The old law and the new morality : six lectures on the Commandments delivered in St. Francis Xavier's church, Gardiner street, Dublin, in the Lent of 1936 / by Rev. P. J. Gannon.</t>
  </si>
  <si>
    <t>Gannon, Patrick Joseph, 1879-1953.</t>
  </si>
  <si>
    <t>London ; Dublin : Burns, Oates &amp; Washbourne, ltd., [1937, c1936]</t>
  </si>
  <si>
    <t>2009-11-24</t>
  </si>
  <si>
    <t>430037644:eng</t>
  </si>
  <si>
    <t>6561142</t>
  </si>
  <si>
    <t>991005005209702656</t>
  </si>
  <si>
    <t>2269271720002656</t>
  </si>
  <si>
    <t>32285000968577</t>
  </si>
  <si>
    <t>893353637</t>
  </si>
  <si>
    <t>BV4655 .G67</t>
  </si>
  <si>
    <t>0                      BV 4655000G  67</t>
  </si>
  <si>
    <t>The Sinai myth / [by] Andrew M. Greeley.</t>
  </si>
  <si>
    <t>Greeley, Andrew M., 1928-2013.</t>
  </si>
  <si>
    <t>Garden City, N.Y., Doubleday, 1972.</t>
  </si>
  <si>
    <t>2010-04-14</t>
  </si>
  <si>
    <t>1739430:eng</t>
  </si>
  <si>
    <t>630554</t>
  </si>
  <si>
    <t>991003077589702656</t>
  </si>
  <si>
    <t>2262325380002656</t>
  </si>
  <si>
    <t>9780385014687</t>
  </si>
  <si>
    <t>32285000968585</t>
  </si>
  <si>
    <t>893239860</t>
  </si>
  <si>
    <t>BV4655 .H4</t>
  </si>
  <si>
    <t>0                      BV 4655000H  4</t>
  </si>
  <si>
    <t>The Ten commandments and modern man / H.G.G. Herklots.</t>
  </si>
  <si>
    <t>Herklots, H. G. G. (Hugh Gerard Gibson), 1903-1971.</t>
  </si>
  <si>
    <t>London, Ernest Benn Ltd. [1958]</t>
  </si>
  <si>
    <t>1506519:eng</t>
  </si>
  <si>
    <t>385199</t>
  </si>
  <si>
    <t>991002644159702656</t>
  </si>
  <si>
    <t>2258918100002656</t>
  </si>
  <si>
    <t>32285000968593</t>
  </si>
  <si>
    <t>893317076</t>
  </si>
  <si>
    <t>BV4655 .L58 1944</t>
  </si>
  <si>
    <t>0                      BV 4655000L  58          1944</t>
  </si>
  <si>
    <t>The glorious Ten commandments / by Daniel A. Lord, S.J.</t>
  </si>
  <si>
    <t>Lord, Daniel A. (Daniel Aloysius), 1888-1955.</t>
  </si>
  <si>
    <t>St. Louis, Mo. : The Queen's work, [1944]</t>
  </si>
  <si>
    <t>2009-11-20</t>
  </si>
  <si>
    <t>1750362:eng</t>
  </si>
  <si>
    <t>833542</t>
  </si>
  <si>
    <t>991003309689702656</t>
  </si>
  <si>
    <t>2271625330002656</t>
  </si>
  <si>
    <t>32285000968601</t>
  </si>
  <si>
    <t>893721890</t>
  </si>
  <si>
    <t>BV467 .A8 1997</t>
  </si>
  <si>
    <t>0                      BV 0467000A  8           1997</t>
  </si>
  <si>
    <t>At the lighting of the lamps : hymns of the ancient church.</t>
  </si>
  <si>
    <t>Harrisburg, Penn. : Morehouse Pub., [1997].</t>
  </si>
  <si>
    <t>1999-09-13</t>
  </si>
  <si>
    <t>56152953:eng</t>
  </si>
  <si>
    <t>37527702</t>
  </si>
  <si>
    <t>991002847989702656</t>
  </si>
  <si>
    <t>2265061110002656</t>
  </si>
  <si>
    <t>9780819217172</t>
  </si>
  <si>
    <t>32285003588232</t>
  </si>
  <si>
    <t>893239583</t>
  </si>
  <si>
    <t>BV467 .M3 1963</t>
  </si>
  <si>
    <t>0                      BV 0467000M  3           1963</t>
  </si>
  <si>
    <t>Sancti Romani Melodi cantica : cantica genuina / edited by Paul Maas and C.A. Trypanis.</t>
  </si>
  <si>
    <t>Maas, Paul, 1880-1964 editor.</t>
  </si>
  <si>
    <t>Oxford : Clarendon Press, 1963.</t>
  </si>
  <si>
    <t>2006-10-30</t>
  </si>
  <si>
    <t>1825911646:grc</t>
  </si>
  <si>
    <t>23522076</t>
  </si>
  <si>
    <t>991004960959702656</t>
  </si>
  <si>
    <t>2259393830002656</t>
  </si>
  <si>
    <t>32285005229967</t>
  </si>
  <si>
    <t>893507423</t>
  </si>
  <si>
    <t>BV468 .B73 1936</t>
  </si>
  <si>
    <t>0                      BV 0468000B  73          1936</t>
  </si>
  <si>
    <t>The hymns of the breviary and missal, edited with introduction and notes by Rev. Matthew Britt. Preface by Rt. Rev. Msgr. Hugh T. Henry.</t>
  </si>
  <si>
    <t>Britt, Matthew, 1872-1955, editor.</t>
  </si>
  <si>
    <t>New York, Benziger Bros., 1936.</t>
  </si>
  <si>
    <t>2266317:lat</t>
  </si>
  <si>
    <t>5173278</t>
  </si>
  <si>
    <t>991003716949702656</t>
  </si>
  <si>
    <t>2258905110002656</t>
  </si>
  <si>
    <t>32285000902444</t>
  </si>
  <si>
    <t>893441624</t>
  </si>
  <si>
    <t>BV468 .C6</t>
  </si>
  <si>
    <t>0                      BV 0468000C  6</t>
  </si>
  <si>
    <t>Corolla hymnorum sacrorum : being a selection of Latin hymns of the early and middle ages / trans. by John Lord Hayes.</t>
  </si>
  <si>
    <t>Boston : Estes, 1887.</t>
  </si>
  <si>
    <t>1887</t>
  </si>
  <si>
    <t>2005-07-26</t>
  </si>
  <si>
    <t>54176993:eng</t>
  </si>
  <si>
    <t>3217518</t>
  </si>
  <si>
    <t>991004380049702656</t>
  </si>
  <si>
    <t>2271452390002656</t>
  </si>
  <si>
    <t>32285000902451</t>
  </si>
  <si>
    <t>893693878</t>
  </si>
  <si>
    <t>BV4680 .B35 2005</t>
  </si>
  <si>
    <t>0                      BV 4680000B  35          2005</t>
  </si>
  <si>
    <t>"You shall not kill" or "You shall not murder"? : the assault on a biblical text / Wilma Ann Bailey.</t>
  </si>
  <si>
    <t>Bailey, Wilma A.</t>
  </si>
  <si>
    <t>Collegeville, Minn. : Liturgical Press, c2005.</t>
  </si>
  <si>
    <t>2009-11-19</t>
  </si>
  <si>
    <t>2005-12-13</t>
  </si>
  <si>
    <t>2760647:eng</t>
  </si>
  <si>
    <t>57514787</t>
  </si>
  <si>
    <t>991004684279702656</t>
  </si>
  <si>
    <t>2254869230002656</t>
  </si>
  <si>
    <t>9780814652145</t>
  </si>
  <si>
    <t>32285005152052</t>
  </si>
  <si>
    <t>893776315</t>
  </si>
  <si>
    <t>BV4740 .B74 2005</t>
  </si>
  <si>
    <t>0                      BV 4740000B  74          2005</t>
  </si>
  <si>
    <t>Live your calling : a practical guide to finding and fulfilling your mission in life / Kevin and Kay Marie Brennfleck.</t>
  </si>
  <si>
    <t>Brennfleck, Kevin, 1959-</t>
  </si>
  <si>
    <t>2009-10-09</t>
  </si>
  <si>
    <t>2007-02-20</t>
  </si>
  <si>
    <t>3374390695:eng</t>
  </si>
  <si>
    <t>55797761</t>
  </si>
  <si>
    <t>991005032539702656</t>
  </si>
  <si>
    <t>2271919090002656</t>
  </si>
  <si>
    <t>9780787968953</t>
  </si>
  <si>
    <t>32285005277610</t>
  </si>
  <si>
    <t>893326071</t>
  </si>
  <si>
    <t>BV4740 .B76 2006</t>
  </si>
  <si>
    <t>0                      BV 4740000B  76          2006</t>
  </si>
  <si>
    <t>What am I supposed to do with my life? : asking the right questions / Douglas J. Brouwer.</t>
  </si>
  <si>
    <t>Brouwer, Douglas J.</t>
  </si>
  <si>
    <t>Grand Rapids, Mich. : William B. Eerdmans Pub. Co., c2006.</t>
  </si>
  <si>
    <t>2006</t>
  </si>
  <si>
    <t>10624533007:eng</t>
  </si>
  <si>
    <t>64065844</t>
  </si>
  <si>
    <t>991005080069702656</t>
  </si>
  <si>
    <t>2269005870002656</t>
  </si>
  <si>
    <t>9780802829610</t>
  </si>
  <si>
    <t>32285005312847</t>
  </si>
  <si>
    <t>893507574</t>
  </si>
  <si>
    <t>BV4740 .C66 2006</t>
  </si>
  <si>
    <t>0                      BV 4740000C  66          2006</t>
  </si>
  <si>
    <t>The listening heart : vocation and the crisis of modern culture / A. J. Conyers.</t>
  </si>
  <si>
    <t>Conyers, A. J., 1944-</t>
  </si>
  <si>
    <t>Dallas, Tex. : Spence Publishing Co., 2006.</t>
  </si>
  <si>
    <t>2007-03-21</t>
  </si>
  <si>
    <t>2007-01-31</t>
  </si>
  <si>
    <t>198927148:eng</t>
  </si>
  <si>
    <t>77570329</t>
  </si>
  <si>
    <t>991005005449702656</t>
  </si>
  <si>
    <t>2265142440002656</t>
  </si>
  <si>
    <t>9781890626686</t>
  </si>
  <si>
    <t>32285005273981</t>
  </si>
  <si>
    <t>893332266</t>
  </si>
  <si>
    <t>BV4740 .D35 2006</t>
  </si>
  <si>
    <t>0                      BV 4740000D  35          2006</t>
  </si>
  <si>
    <t>Companions in Christ : a small-group experience in spiritual formation : participant's book. Volume 4, Responding to our call / Gerrit Scott Dawson.</t>
  </si>
  <si>
    <t>Dawson, Gerrit Scott.</t>
  </si>
  <si>
    <t>Nashville : Upper Room Books, c2006.</t>
  </si>
  <si>
    <t>2008-02-08</t>
  </si>
  <si>
    <t>34100032:eng</t>
  </si>
  <si>
    <t>62741371</t>
  </si>
  <si>
    <t>991005079059702656</t>
  </si>
  <si>
    <t>2256782160002656</t>
  </si>
  <si>
    <t>9780835898331</t>
  </si>
  <si>
    <t>32285005315378</t>
  </si>
  <si>
    <t>893338466</t>
  </si>
  <si>
    <t>BV4740 .G75 2003</t>
  </si>
  <si>
    <t>0                      BV 4740000G  75          2003</t>
  </si>
  <si>
    <t>Personal vocation : God calls everyone by name / Germain Grisez, Russell Shaw.</t>
  </si>
  <si>
    <t>Grisez, Germain Gabriel, 1929-2018.</t>
  </si>
  <si>
    <t>Huntington, Ind. : Our Sunday Visitor Pub. Division, c2003.</t>
  </si>
  <si>
    <t>2007-09-06</t>
  </si>
  <si>
    <t>2004-11-08</t>
  </si>
  <si>
    <t>3754447430:eng</t>
  </si>
  <si>
    <t>53897628</t>
  </si>
  <si>
    <t>991004287019702656</t>
  </si>
  <si>
    <t>2271466950002656</t>
  </si>
  <si>
    <t>9781592760213</t>
  </si>
  <si>
    <t>32285005009245</t>
  </si>
  <si>
    <t>893500374</t>
  </si>
  <si>
    <t>BV4740 .G85 2003</t>
  </si>
  <si>
    <t>0                      BV 4740000G  85          2003</t>
  </si>
  <si>
    <t>The call : finding and fulfilling the central purpose of your life / Os Guinness.</t>
  </si>
  <si>
    <t>Guinness, Os.</t>
  </si>
  <si>
    <t>Nashville, Tenn. : W Pub. Group, c2003.</t>
  </si>
  <si>
    <t>635438:eng</t>
  </si>
  <si>
    <t>52429448</t>
  </si>
  <si>
    <t>991005079809702656</t>
  </si>
  <si>
    <t>2261361360002656</t>
  </si>
  <si>
    <t>9780849944376</t>
  </si>
  <si>
    <t>32285005314231</t>
  </si>
  <si>
    <t>893526861</t>
  </si>
  <si>
    <t>BV4740 .H563 2001</t>
  </si>
  <si>
    <t>0                      BV 4740000H  563         2001</t>
  </si>
  <si>
    <t>Career and calling : a guide for counselors, youth, and young adults / Ginny Ward Holderness with Forrest C. Palmer, Jr.</t>
  </si>
  <si>
    <t>Holderness, Ginny Ward, 1946-</t>
  </si>
  <si>
    <t>2004-05-03</t>
  </si>
  <si>
    <t>2674032:eng</t>
  </si>
  <si>
    <t>44669760</t>
  </si>
  <si>
    <t>991004286679702656</t>
  </si>
  <si>
    <t>2267833430002656</t>
  </si>
  <si>
    <t>9780664222321</t>
  </si>
  <si>
    <t>32285004903059</t>
  </si>
  <si>
    <t>893806877</t>
  </si>
  <si>
    <t>BV4740 .J46 1990</t>
  </si>
  <si>
    <t>0                      BV 4740000J  46          1990</t>
  </si>
  <si>
    <t>Shattered vocations / Mark Jensen.</t>
  </si>
  <si>
    <t>Jensen, Mark, 1956-</t>
  </si>
  <si>
    <t>Nashville, Tenn. : Broadman Press, c1990.</t>
  </si>
  <si>
    <t>[The Bible and personal crisis]</t>
  </si>
  <si>
    <t>2008-10-15</t>
  </si>
  <si>
    <t>22383832:eng</t>
  </si>
  <si>
    <t>20524610</t>
  </si>
  <si>
    <t>991005079619702656</t>
  </si>
  <si>
    <t>2270931200002656</t>
  </si>
  <si>
    <t>9780805454475</t>
  </si>
  <si>
    <t>32285005312672</t>
  </si>
  <si>
    <t>893418338</t>
  </si>
  <si>
    <t>BV4740 .J66 1996</t>
  </si>
  <si>
    <t>0                      BV 4740000J  66          1996</t>
  </si>
  <si>
    <t>The path : creating your mission statement for work and for life / Laurie Beth Jones.</t>
  </si>
  <si>
    <t>Jones, Laurie Beth.</t>
  </si>
  <si>
    <t>New York : Hyperion, c1996.</t>
  </si>
  <si>
    <t>1997-11-20</t>
  </si>
  <si>
    <t>602484:eng</t>
  </si>
  <si>
    <t>34116156</t>
  </si>
  <si>
    <t>991002604779702656</t>
  </si>
  <si>
    <t>2271760730002656</t>
  </si>
  <si>
    <t>9780786862276</t>
  </si>
  <si>
    <t>32285003272159</t>
  </si>
  <si>
    <t>893239266</t>
  </si>
  <si>
    <t>BV4740 .L37 2003</t>
  </si>
  <si>
    <t>0                      BV 4740000L  37          2003</t>
  </si>
  <si>
    <t>Getting a life : how to find your true vocation / Renée M. LaReau.</t>
  </si>
  <si>
    <t>LaReau, Renée M.</t>
  </si>
  <si>
    <t>Maryknoll, N.Y. : Orbis Books, c2003.</t>
  </si>
  <si>
    <t>2007-06-28</t>
  </si>
  <si>
    <t>2004-11-01</t>
  </si>
  <si>
    <t>10142773465:eng</t>
  </si>
  <si>
    <t>52134779</t>
  </si>
  <si>
    <t>991004286709702656</t>
  </si>
  <si>
    <t>2255166490002656</t>
  </si>
  <si>
    <t>9781570754982</t>
  </si>
  <si>
    <t>32285005007413</t>
  </si>
  <si>
    <t>893782072</t>
  </si>
  <si>
    <t>BV4740 .M25 1996</t>
  </si>
  <si>
    <t>0                      BV 4740000M  25          1996</t>
  </si>
  <si>
    <t>A kind of life imposed on man : vocation and social order from Tyndale to Locke / Paul Marshall.</t>
  </si>
  <si>
    <t>Marshall, Paul A., 1948-</t>
  </si>
  <si>
    <t>Toronto [Ont.] ; Buffalo [N.Y.] : University of Toronto Press, c1996.</t>
  </si>
  <si>
    <t>2005-01-27</t>
  </si>
  <si>
    <t>1996-12-03</t>
  </si>
  <si>
    <t>20552385:eng</t>
  </si>
  <si>
    <t>36008871</t>
  </si>
  <si>
    <t>991002742299702656</t>
  </si>
  <si>
    <t>2258989860002656</t>
  </si>
  <si>
    <t>9780802007841</t>
  </si>
  <si>
    <t>32285002387685</t>
  </si>
  <si>
    <t>893245575</t>
  </si>
  <si>
    <t>BV4740 .S33 2005</t>
  </si>
  <si>
    <t>0                      BV 4740000S  33          2005</t>
  </si>
  <si>
    <t>Here I am : now what on earth should I be doing? / Quentin J. Schultze.</t>
  </si>
  <si>
    <t>Schultze, Quentin J. (Quentin James), 1952-</t>
  </si>
  <si>
    <t>a Grand Rapids, MI : Baker Books, c2005.</t>
  </si>
  <si>
    <t>2010-02-24</t>
  </si>
  <si>
    <t>1097968721:eng</t>
  </si>
  <si>
    <t>56834650</t>
  </si>
  <si>
    <t>991004780829702656</t>
  </si>
  <si>
    <t>2269605630002656</t>
  </si>
  <si>
    <t>9780801065453</t>
  </si>
  <si>
    <t>32285005188692</t>
  </si>
  <si>
    <t>893713025</t>
  </si>
  <si>
    <t>BV4812.A1 S28 1971</t>
  </si>
  <si>
    <t>0                      BV 4812000A  1                  S  28          1971</t>
  </si>
  <si>
    <t>Cycles, the first year : reflections for the Sundays of the year / edited by Louis M. Savary.</t>
  </si>
  <si>
    <t>Savary, Louis M. compiler.</t>
  </si>
  <si>
    <t>New York : Regina Press, 1971.</t>
  </si>
  <si>
    <t>2005-02-11</t>
  </si>
  <si>
    <t>1992-03-09</t>
  </si>
  <si>
    <t>1489021:eng</t>
  </si>
  <si>
    <t>514846</t>
  </si>
  <si>
    <t>991002897889702656</t>
  </si>
  <si>
    <t>2262034420002656</t>
  </si>
  <si>
    <t>32285000968734</t>
  </si>
  <si>
    <t>893434422</t>
  </si>
  <si>
    <t>BV4813 .B68</t>
  </si>
  <si>
    <t>0                      BV 4813000B  68</t>
  </si>
  <si>
    <t>Hidden in plain sight : the practice of Christian meditation / Avery Brooke ; with art by Carol Aymar Armstrong.</t>
  </si>
  <si>
    <t>Brooke, Avery.</t>
  </si>
  <si>
    <t>2000-09-21</t>
  </si>
  <si>
    <t>1992-01-07</t>
  </si>
  <si>
    <t>8134158:eng</t>
  </si>
  <si>
    <t>3414289</t>
  </si>
  <si>
    <t>991004428709702656</t>
  </si>
  <si>
    <t>2259673660002656</t>
  </si>
  <si>
    <t>9780816421763</t>
  </si>
  <si>
    <t>32285000883685</t>
  </si>
  <si>
    <t>893876103</t>
  </si>
  <si>
    <t>BV4813 .C3</t>
  </si>
  <si>
    <t>0                      BV 4813000C  3</t>
  </si>
  <si>
    <t>The desert in the city / Translated by Barbara Wall.</t>
  </si>
  <si>
    <t>Carretto, Carlo.</t>
  </si>
  <si>
    <t>[New York] Collins [1979]</t>
  </si>
  <si>
    <t>2001-08-28</t>
  </si>
  <si>
    <t>3857133333:eng</t>
  </si>
  <si>
    <t>13949529</t>
  </si>
  <si>
    <t>991004843659702656</t>
  </si>
  <si>
    <t>2255477430002656</t>
  </si>
  <si>
    <t>9780529056719</t>
  </si>
  <si>
    <t>32285000968791</t>
  </si>
  <si>
    <t>893319702</t>
  </si>
  <si>
    <t>BV4813 .C374 1989</t>
  </si>
  <si>
    <t>0                      BV 4813000C  374         1989</t>
  </si>
  <si>
    <t>Letter to the bishops of the Catholic Church on some aspects of Christian meditation.</t>
  </si>
  <si>
    <t>Catholic Church. Congregatio pro Doctrina Fidei.</t>
  </si>
  <si>
    <t>Vatican City ; [Washington, D.C. : United States Catholic Conference, Office for Publishing and Promotion Services, 1989].</t>
  </si>
  <si>
    <t>Publication / Office for Publishing and Promotion Services, United States Catholic Conference ; no. 336-1</t>
  </si>
  <si>
    <t>23152840:eng</t>
  </si>
  <si>
    <t>21272143</t>
  </si>
  <si>
    <t>991001670249702656</t>
  </si>
  <si>
    <t>2259714250002656</t>
  </si>
  <si>
    <t>9781555863364</t>
  </si>
  <si>
    <t>32285000022169</t>
  </si>
  <si>
    <t>893778974</t>
  </si>
  <si>
    <t>BV4813 .C68 1927</t>
  </si>
  <si>
    <t>0                      BV 4813000C  68          1927</t>
  </si>
  <si>
    <t>Familiar instructions on the degrees of mental prayer / by the Abbé Courbon ; translated from the French by a client of St. Teresa.</t>
  </si>
  <si>
    <t>Courbon, abbé, curé de Saint-Cyr.</t>
  </si>
  <si>
    <t>Loughrea, [Ire.] : M. S. Kelly ; New York : Benziger, [1927].</t>
  </si>
  <si>
    <t>1996-09-09</t>
  </si>
  <si>
    <t>4160143104:eng</t>
  </si>
  <si>
    <t>4564906</t>
  </si>
  <si>
    <t>991004680639702656</t>
  </si>
  <si>
    <t>2263817580002656</t>
  </si>
  <si>
    <t>32285001074581</t>
  </si>
  <si>
    <t>893229697</t>
  </si>
  <si>
    <t>BV4813 .E36 1998</t>
  </si>
  <si>
    <t>0                      BV 4813000E  36          1998</t>
  </si>
  <si>
    <t>Living simply through the day : spiritual survival in a complex age / by Tilden Edwards.</t>
  </si>
  <si>
    <t>Edwards, Tilden.</t>
  </si>
  <si>
    <t>Rev. and updated ed.</t>
  </si>
  <si>
    <t>1999-09-16</t>
  </si>
  <si>
    <t>466132:eng</t>
  </si>
  <si>
    <t>39045193</t>
  </si>
  <si>
    <t>991002935369702656</t>
  </si>
  <si>
    <t>2269441880002656</t>
  </si>
  <si>
    <t>9780809138173</t>
  </si>
  <si>
    <t>32285003589248</t>
  </si>
  <si>
    <t>893692184</t>
  </si>
  <si>
    <t>BV4813 .F73 1987</t>
  </si>
  <si>
    <t>0                      BV 4813000F  73          1987</t>
  </si>
  <si>
    <t>Light within : the inner path of meditation / Laurence Freeman ; foreword by Yehudi Menuhin.</t>
  </si>
  <si>
    <t>Freeman, Laurence.</t>
  </si>
  <si>
    <t>New York : Crossroad, 1987, c1986.</t>
  </si>
  <si>
    <t>1994-09-29</t>
  </si>
  <si>
    <t>628079:eng</t>
  </si>
  <si>
    <t>13581914</t>
  </si>
  <si>
    <t>991000850249702656</t>
  </si>
  <si>
    <t>2259485320002656</t>
  </si>
  <si>
    <t>9780824507855</t>
  </si>
  <si>
    <t>32285000968833</t>
  </si>
  <si>
    <t>893315294</t>
  </si>
  <si>
    <t>BV4813 .H38</t>
  </si>
  <si>
    <t>0                      BV 4813000H  38</t>
  </si>
  <si>
    <t>Beyond TM : a practical guide to the lost traditions of Christian meditation / Marilyn Morgan Helleberg.</t>
  </si>
  <si>
    <t>Helleberg, Marilyn M.</t>
  </si>
  <si>
    <t>1150961151:eng</t>
  </si>
  <si>
    <t>7423265</t>
  </si>
  <si>
    <t>991005110789702656</t>
  </si>
  <si>
    <t>2272707480002656</t>
  </si>
  <si>
    <t>9780809123254</t>
  </si>
  <si>
    <t>32285000968841</t>
  </si>
  <si>
    <t>893338520</t>
  </si>
  <si>
    <t>BV4813 .K4 1994</t>
  </si>
  <si>
    <t>0                      BV 4813000K  4           1994</t>
  </si>
  <si>
    <t>Finding God : a handbook of Christian meditation / Ken Kaisch.</t>
  </si>
  <si>
    <t>Kaisch, Ken, 1948-</t>
  </si>
  <si>
    <t>New York : Paulist Press, c1994.</t>
  </si>
  <si>
    <t>1996-10-04</t>
  </si>
  <si>
    <t>1995-06-29</t>
  </si>
  <si>
    <t>32938618:eng</t>
  </si>
  <si>
    <t>30974765</t>
  </si>
  <si>
    <t>991002383359702656</t>
  </si>
  <si>
    <t>2259972790002656</t>
  </si>
  <si>
    <t>9780809135295</t>
  </si>
  <si>
    <t>32285002052966</t>
  </si>
  <si>
    <t>893322861</t>
  </si>
  <si>
    <t>BV4813 .K44 1976</t>
  </si>
  <si>
    <t>0                      BV 4813000K  44          1976</t>
  </si>
  <si>
    <t>The other side of silence : a guide to Christian meditation / Morton T. Kelsey.</t>
  </si>
  <si>
    <t>466119:eng</t>
  </si>
  <si>
    <t>2292309</t>
  </si>
  <si>
    <t>991005328529702656</t>
  </si>
  <si>
    <t>2265203090002656</t>
  </si>
  <si>
    <t>9780809102082</t>
  </si>
  <si>
    <t>32285005539209</t>
  </si>
  <si>
    <t>893777217</t>
  </si>
  <si>
    <t>BV4813 .L412 1957</t>
  </si>
  <si>
    <t>0                      BV 4813000L  412         1957</t>
  </si>
  <si>
    <t>Methods of mental prayer / by Cardinal Lercaro. [Translation from the original Italian by T. F. Lindsay]</t>
  </si>
  <si>
    <t>Lercaro, Giacomo, 1891-1976.</t>
  </si>
  <si>
    <t>Westminster, Md. : Newman Press, [1957]</t>
  </si>
  <si>
    <t>2008-06-16</t>
  </si>
  <si>
    <t>7497479:eng</t>
  </si>
  <si>
    <t>2486384</t>
  </si>
  <si>
    <t>991004136119702656</t>
  </si>
  <si>
    <t>2260942150002656</t>
  </si>
  <si>
    <t>32285000968866</t>
  </si>
  <si>
    <t>893888326</t>
  </si>
  <si>
    <t>BV4813 .M313 1984</t>
  </si>
  <si>
    <t>0                      BV 4813000M  313         1984</t>
  </si>
  <si>
    <t>Moment of Christ : the path of meditation / John Main.</t>
  </si>
  <si>
    <t>Main, John, 1926-1982.</t>
  </si>
  <si>
    <t>New York : Crossroad, 1984.</t>
  </si>
  <si>
    <t>2005-07-25</t>
  </si>
  <si>
    <t>41663481:eng</t>
  </si>
  <si>
    <t>10849993</t>
  </si>
  <si>
    <t>991000444999702656</t>
  </si>
  <si>
    <t>2260416230002656</t>
  </si>
  <si>
    <t>9780824506605</t>
  </si>
  <si>
    <t>32285000968908</t>
  </si>
  <si>
    <t>893702109</t>
  </si>
  <si>
    <t>BV4813 .M43 1969</t>
  </si>
  <si>
    <t>0                      BV 4813000M  43          1969</t>
  </si>
  <si>
    <t>Contemplative prayer / Thomas Merton.</t>
  </si>
  <si>
    <t>[New York] : Herder and Herder, [1969]</t>
  </si>
  <si>
    <t>1139436:eng</t>
  </si>
  <si>
    <t>16848</t>
  </si>
  <si>
    <t>991000017989702656</t>
  </si>
  <si>
    <t>2271590520002656</t>
  </si>
  <si>
    <t>32285000968916</t>
  </si>
  <si>
    <t>893444162</t>
  </si>
  <si>
    <t>BV4813 .M87 1976</t>
  </si>
  <si>
    <t>0                      BV 4813000M  87          1976</t>
  </si>
  <si>
    <t>A practical guide to spiritual reading / Susan Annette Muto ; with a foreword by Adrian van Kaam.</t>
  </si>
  <si>
    <t>Denville, N.J. : Dimension Books, 1976.</t>
  </si>
  <si>
    <t>5104152:eng</t>
  </si>
  <si>
    <t>2472896</t>
  </si>
  <si>
    <t>991004132099702656</t>
  </si>
  <si>
    <t>2257717610002656</t>
  </si>
  <si>
    <t>32285000968957</t>
  </si>
  <si>
    <t>893446050</t>
  </si>
  <si>
    <t>BV4813 .P76</t>
  </si>
  <si>
    <t>0                      BV 4813000P  76</t>
  </si>
  <si>
    <t>The practice of process meditation : the Intensive Journal way to spiritual experience / by Ira Progoff.</t>
  </si>
  <si>
    <t>Progoff, Ira.</t>
  </si>
  <si>
    <t>New York : Dialogue House Library, 1980.</t>
  </si>
  <si>
    <t>1992-07-24</t>
  </si>
  <si>
    <t>308386509:eng</t>
  </si>
  <si>
    <t>7064455</t>
  </si>
  <si>
    <t>991005073119702656</t>
  </si>
  <si>
    <t>2266613160002656</t>
  </si>
  <si>
    <t>9780879410087</t>
  </si>
  <si>
    <t>32285000968973</t>
  </si>
  <si>
    <t>893876886</t>
  </si>
  <si>
    <t>BV4813 .R62 1945</t>
  </si>
  <si>
    <t>0                      BV 4813000R  62          1945</t>
  </si>
  <si>
    <t>How to meditate / by John Roothaan. A translation from the Latin, by Louis J. Puhl.</t>
  </si>
  <si>
    <t>Roothaan, Joannes Philippus, 1785-1853.</t>
  </si>
  <si>
    <t>Westminster, Md. : Newman Bookshop, 1945.</t>
  </si>
  <si>
    <t>1991-11-21</t>
  </si>
  <si>
    <t>2121463:eng</t>
  </si>
  <si>
    <t>1441093</t>
  </si>
  <si>
    <t>991003757779702656</t>
  </si>
  <si>
    <t>2257594530002656</t>
  </si>
  <si>
    <t>32285000843879</t>
  </si>
  <si>
    <t>893330743</t>
  </si>
  <si>
    <t>BV4813.L4 I5</t>
  </si>
  <si>
    <t>0                      BV 4813000L  4                  I  5</t>
  </si>
  <si>
    <t>The interior life / by Jacques Leclercq. Translated from the French by Fergus Murphy.</t>
  </si>
  <si>
    <t>Leclercq, Jacques, 1891-1971.</t>
  </si>
  <si>
    <t>New York : P.J. Kenedy &amp; Sons, [c1961]</t>
  </si>
  <si>
    <t>1993-11-07</t>
  </si>
  <si>
    <t>1991-10-28</t>
  </si>
  <si>
    <t>28999744:eng</t>
  </si>
  <si>
    <t>1182834</t>
  </si>
  <si>
    <t>991003603649702656</t>
  </si>
  <si>
    <t>2265184480002656</t>
  </si>
  <si>
    <t>32285000812759</t>
  </si>
  <si>
    <t>893428977</t>
  </si>
  <si>
    <t>BV4815 .C37 2003</t>
  </si>
  <si>
    <t>0                      BV 4815000C  37          2003</t>
  </si>
  <si>
    <t>Popular devotional practices : basic questions &amp; answers : a statement of the United States Conference of Catholic Bishops.</t>
  </si>
  <si>
    <t>Catholic Church. United States Conference of Catholic Bishops.</t>
  </si>
  <si>
    <t>Washington, D.C. : USCCB Pub., 2003.</t>
  </si>
  <si>
    <t>Publication ; no. 5-610</t>
  </si>
  <si>
    <t>2004-03-30</t>
  </si>
  <si>
    <t>134791050:eng</t>
  </si>
  <si>
    <t>54516556</t>
  </si>
  <si>
    <t>991004273299702656</t>
  </si>
  <si>
    <t>2271155240002656</t>
  </si>
  <si>
    <t>9781574556100</t>
  </si>
  <si>
    <t>32285004898051</t>
  </si>
  <si>
    <t>893319011</t>
  </si>
  <si>
    <t>BV4818 .C7 1970</t>
  </si>
  <si>
    <t>0                      BV 4818000C  7           1970</t>
  </si>
  <si>
    <t>The Craft of dying : a study in the literary tradition of the Ars moriendi in England / [edited] by Nancy Lee Beaty.</t>
  </si>
  <si>
    <t>New Haven : Yale University Press, 1970.</t>
  </si>
  <si>
    <t>Yale studies in English ; 175</t>
  </si>
  <si>
    <t>2006-04-21</t>
  </si>
  <si>
    <t>1239323:eng</t>
  </si>
  <si>
    <t>119313</t>
  </si>
  <si>
    <t>991000672569702656</t>
  </si>
  <si>
    <t>2264269550002656</t>
  </si>
  <si>
    <t>9780300013368</t>
  </si>
  <si>
    <t>32285000969104</t>
  </si>
  <si>
    <t>893419674</t>
  </si>
  <si>
    <t>BV4818 .D3 1962</t>
  </si>
  <si>
    <t>0                      BV 4818000D  3           1962</t>
  </si>
  <si>
    <t>English spiritual writers / edited by Charles Davis. With a foreword by Cardinal Godfrey.</t>
  </si>
  <si>
    <t>Davis, Charles, 1923-1999 editor.</t>
  </si>
  <si>
    <t>New York : Sheed and Ward, [1962, c1961]</t>
  </si>
  <si>
    <t>2010-06-03</t>
  </si>
  <si>
    <t>1412517:eng</t>
  </si>
  <si>
    <t>249806</t>
  </si>
  <si>
    <t>991001933579702656</t>
  </si>
  <si>
    <t>2258507760002656</t>
  </si>
  <si>
    <t>32285000969112</t>
  </si>
  <si>
    <t>893427006</t>
  </si>
  <si>
    <t>BV4821 .A1 1937</t>
  </si>
  <si>
    <t>0                      BV 4821000A  1           1937</t>
  </si>
  <si>
    <t>The following of Christ : the spiritual diary of Gerard Groote (1340-1384), founder of the Brethren and sisters of the common life / translated into English from original Netherlandish texts, as edited by James van Ginneken ... by Joseph Malaise.</t>
  </si>
  <si>
    <t>Imitatio Christi. English.</t>
  </si>
  <si>
    <t>New York : American Press, 1937.</t>
  </si>
  <si>
    <t>2002-05-02</t>
  </si>
  <si>
    <t>1990-06-26</t>
  </si>
  <si>
    <t>8986334663:eng</t>
  </si>
  <si>
    <t>14575256</t>
  </si>
  <si>
    <t>991000945909702656</t>
  </si>
  <si>
    <t>2271566070002656</t>
  </si>
  <si>
    <t>32285000215086</t>
  </si>
  <si>
    <t>893407674</t>
  </si>
  <si>
    <t>BV4821 .A1 1954a</t>
  </si>
  <si>
    <t>0                      BV 4821000A  1           1954a</t>
  </si>
  <si>
    <t>My Imitation of Christ / [by] Thomas à Kempis. Rev. translation.</t>
  </si>
  <si>
    <t>Brooklyn : Confraternity of the Precious Blood, [1954]</t>
  </si>
  <si>
    <t>2005-07-14</t>
  </si>
  <si>
    <t>2790527305:eng</t>
  </si>
  <si>
    <t>2600300</t>
  </si>
  <si>
    <t>991004179529702656</t>
  </si>
  <si>
    <t>2271013240002656</t>
  </si>
  <si>
    <t>32285000969195</t>
  </si>
  <si>
    <t>893624442</t>
  </si>
  <si>
    <t>BV4821 .C7 1887</t>
  </si>
  <si>
    <t>0                      BV 4821000C  7           1887</t>
  </si>
  <si>
    <t>Thomas à Kempis : notes of a visit to the scenes in which his life was spent, with some account of the examination of his relics / by Francis Richard Cruise.</t>
  </si>
  <si>
    <t>Cruise, Francis Richard, 1834-1912.</t>
  </si>
  <si>
    <t>London : Kegan Paul, Trench &amp; Co., 1887.</t>
  </si>
  <si>
    <t>2006-02-20</t>
  </si>
  <si>
    <t>294361951:eng</t>
  </si>
  <si>
    <t>2832697</t>
  </si>
  <si>
    <t>991004258029702656</t>
  </si>
  <si>
    <t>2260426400002656</t>
  </si>
  <si>
    <t>32285000969211</t>
  </si>
  <si>
    <t>893788487</t>
  </si>
  <si>
    <t>BV4831 .F7</t>
  </si>
  <si>
    <t>0                      BV 4831000F  7</t>
  </si>
  <si>
    <t>The Theologia Germanica of Martin Luther / translation, introd., and commentary by Bengt Hoffman ; pref. by Bengt Hägglund.</t>
  </si>
  <si>
    <t>Franckforter.</t>
  </si>
  <si>
    <t>The Classics of Western spirituality</t>
  </si>
  <si>
    <t>1999-07-17</t>
  </si>
  <si>
    <t>1992-03-11</t>
  </si>
  <si>
    <t>5481495878:eng</t>
  </si>
  <si>
    <t>6709173</t>
  </si>
  <si>
    <t>991005030239702656</t>
  </si>
  <si>
    <t>2256526010002656</t>
  </si>
  <si>
    <t>9780809103089</t>
  </si>
  <si>
    <t>32285000969328</t>
  </si>
  <si>
    <t>893332300</t>
  </si>
  <si>
    <t>BV4831 .H48 1929</t>
  </si>
  <si>
    <t>0                      BV 4831000H  48          1929</t>
  </si>
  <si>
    <t>Minor works of Walter Hilton / edited by Dorothy Jones.</t>
  </si>
  <si>
    <t>Hilton, Walter, -1396.</t>
  </si>
  <si>
    <t>New York : Benziger, 1929.</t>
  </si>
  <si>
    <t>1929</t>
  </si>
  <si>
    <t>The Orchard books, 17</t>
  </si>
  <si>
    <t>1996-07-09</t>
  </si>
  <si>
    <t>4113491:eng</t>
  </si>
  <si>
    <t>4044567</t>
  </si>
  <si>
    <t>991004576939702656</t>
  </si>
  <si>
    <t>2270287290002656</t>
  </si>
  <si>
    <t>32285000969336</t>
  </si>
  <si>
    <t>893532550</t>
  </si>
  <si>
    <t>BV4831 .H5 1979</t>
  </si>
  <si>
    <t>0                      BV 4831000H  5           1979</t>
  </si>
  <si>
    <t>The stairway of perfection / by Walter Hilton ; translated with an introd. by M. L. del Mastro.</t>
  </si>
  <si>
    <t>Garden City, N.Y. : Image Books, 1979.</t>
  </si>
  <si>
    <t>2010-06-17</t>
  </si>
  <si>
    <t>366364283:eng</t>
  </si>
  <si>
    <t>5103237</t>
  </si>
  <si>
    <t>991004780089702656</t>
  </si>
  <si>
    <t>2270635690002656</t>
  </si>
  <si>
    <t>9780385140591</t>
  </si>
  <si>
    <t>32285000969344</t>
  </si>
  <si>
    <t>893688139</t>
  </si>
  <si>
    <t>BV4831 .H54 1901</t>
  </si>
  <si>
    <t>0                      BV 4831000H  54          1901</t>
  </si>
  <si>
    <t>The scale (or ladder) of perfection / written by Walter Hilton ; with an essay on the spiritual life of mediaeval England by J. B. Dalgairns.</t>
  </si>
  <si>
    <t>London : Art and Book Co. 1901.</t>
  </si>
  <si>
    <t>1901</t>
  </si>
  <si>
    <t>A new ed.</t>
  </si>
  <si>
    <t>5019290832:eng</t>
  </si>
  <si>
    <t>9457268</t>
  </si>
  <si>
    <t>991000199379702656</t>
  </si>
  <si>
    <t>2260226120002656</t>
  </si>
  <si>
    <t>32285000969377</t>
  </si>
  <si>
    <t>893896703</t>
  </si>
  <si>
    <t>BV4831 .J8 1952</t>
  </si>
  <si>
    <t>0                      BV 4831000J  8           1952</t>
  </si>
  <si>
    <t>Revelations of divine love : shewed to a devout ankress by name Julian of Norwich / edited from the mss. by Roger Hudleston, with an introd. by the same.</t>
  </si>
  <si>
    <t>Julian, of Norwich, 1343-</t>
  </si>
  <si>
    <t>Westminster, Md. : Newman Press, [1952]</t>
  </si>
  <si>
    <t>[2d ed.]</t>
  </si>
  <si>
    <t>The Orchard books [11]</t>
  </si>
  <si>
    <t>2010-11-22</t>
  </si>
  <si>
    <t>1990-02-02</t>
  </si>
  <si>
    <t>4820447966:eng</t>
  </si>
  <si>
    <t>1732414</t>
  </si>
  <si>
    <t>991003882849702656</t>
  </si>
  <si>
    <t>2255367600002656</t>
  </si>
  <si>
    <t>32285000032002</t>
  </si>
  <si>
    <t>893518978</t>
  </si>
  <si>
    <t>BV4831.C5 C66 1989</t>
  </si>
  <si>
    <t>0                      BV 4831000C  5                  C  66          1989</t>
  </si>
  <si>
    <t>The Cloud : reflections on selected texts / Austin Cooper.</t>
  </si>
  <si>
    <t>Cooper, Austin.</t>
  </si>
  <si>
    <t>1992-07-21</t>
  </si>
  <si>
    <t>1991-03-14</t>
  </si>
  <si>
    <t>23078877:eng</t>
  </si>
  <si>
    <t>21962637</t>
  </si>
  <si>
    <t>991001734579702656</t>
  </si>
  <si>
    <t>2269256730002656</t>
  </si>
  <si>
    <t>9780818905735</t>
  </si>
  <si>
    <t>32285000512029</t>
  </si>
  <si>
    <t>893414427</t>
  </si>
  <si>
    <t>BV4831.H53 M5</t>
  </si>
  <si>
    <t>0                      BV 4831000H  53                 M  5</t>
  </si>
  <si>
    <t>The scale of perfection and the English mystical tradition / [by] Joseph E. Milosh.</t>
  </si>
  <si>
    <t>Milosh, Joseph E.</t>
  </si>
  <si>
    <t>Madison, University of Wisconsin Press, 1966.</t>
  </si>
  <si>
    <t>326402823:eng</t>
  </si>
  <si>
    <t>385621</t>
  </si>
  <si>
    <t>991002645099702656</t>
  </si>
  <si>
    <t>2258788590002656</t>
  </si>
  <si>
    <t>32285000969369</t>
  </si>
  <si>
    <t>893523868</t>
  </si>
  <si>
    <t>BV4832 .C48 1935</t>
  </si>
  <si>
    <t>0                      BV 4832000C  48          1935</t>
  </si>
  <si>
    <t>The golden book of Oswald Chambers : my utmost for His Highest ; selections for the year.</t>
  </si>
  <si>
    <t>Chambers, Oswald, 1874-1917.</t>
  </si>
  <si>
    <t>New York : Dodd, Mead &amp; company, [1935]</t>
  </si>
  <si>
    <t>3943325847:eng</t>
  </si>
  <si>
    <t>513802</t>
  </si>
  <si>
    <t>991005328469702656</t>
  </si>
  <si>
    <t>2262389930002656</t>
  </si>
  <si>
    <t>32285005539423</t>
  </si>
  <si>
    <t>893533557</t>
  </si>
  <si>
    <t>BV4832 .F692 1954</t>
  </si>
  <si>
    <t>0                      BV 4832000F  692         1954</t>
  </si>
  <si>
    <t>Two or three together : a manual for prayer groups / by Harold Wiley Freer and Francis B. Hall.</t>
  </si>
  <si>
    <t>Freer, Harold Wiley, 1906-</t>
  </si>
  <si>
    <t>New York : Harper, [1954]</t>
  </si>
  <si>
    <t>2140550:eng</t>
  </si>
  <si>
    <t>1238017</t>
  </si>
  <si>
    <t>991000017049702656</t>
  </si>
  <si>
    <t>2264504640002656</t>
  </si>
  <si>
    <t>32285005589345</t>
  </si>
  <si>
    <t>893534009</t>
  </si>
  <si>
    <t>BV4832.2 .B76 1977</t>
  </si>
  <si>
    <t>0                      BV 4832200B  76          1977</t>
  </si>
  <si>
    <t>Opening to God : guided imagery meditation on Scripture for individuals and groups / Carolyn Stahl.</t>
  </si>
  <si>
    <t>Bohler, Carolyn Stahl, 1948-</t>
  </si>
  <si>
    <t>Nashville : The Upper Room, c1977.</t>
  </si>
  <si>
    <t>1863561351:eng</t>
  </si>
  <si>
    <t>3631395</t>
  </si>
  <si>
    <t>991005090479702656</t>
  </si>
  <si>
    <t>2259439870002656</t>
  </si>
  <si>
    <t>32285005316335</t>
  </si>
  <si>
    <t>893722751</t>
  </si>
  <si>
    <t>BV4832.2 .F37 1987</t>
  </si>
  <si>
    <t>0                      BV 4832200F  37          1987</t>
  </si>
  <si>
    <t>Gathering the fragments : a gospel mosaic / Edward J. Farrell.</t>
  </si>
  <si>
    <t>1993-03-16</t>
  </si>
  <si>
    <t>16699192:eng</t>
  </si>
  <si>
    <t>18073293</t>
  </si>
  <si>
    <t>991001156419702656</t>
  </si>
  <si>
    <t>2270366040002656</t>
  </si>
  <si>
    <t>32285000883651</t>
  </si>
  <si>
    <t>893528704</t>
  </si>
  <si>
    <t>BV4832.2 .G66 1976</t>
  </si>
  <si>
    <t>0                      BV 4832200G  66          1976</t>
  </si>
  <si>
    <t>Return to the center / Bede Griffiths.</t>
  </si>
  <si>
    <t>Griffiths, Bede, 1906-1993.</t>
  </si>
  <si>
    <t>Springfield, Ill. : Templegate ; London : Collins, 1976.</t>
  </si>
  <si>
    <t>2002-01-15</t>
  </si>
  <si>
    <t>63139735:eng</t>
  </si>
  <si>
    <t>2525684</t>
  </si>
  <si>
    <t>991004151839702656</t>
  </si>
  <si>
    <t>2272737730002656</t>
  </si>
  <si>
    <t>9780002157131</t>
  </si>
  <si>
    <t>32285000969443</t>
  </si>
  <si>
    <t>893532048</t>
  </si>
  <si>
    <t>BV4832.2 .J586 1997</t>
  </si>
  <si>
    <t>0                      BV 4832200J  586         1997</t>
  </si>
  <si>
    <t>Listening for God : spiritual directives for searching Christians / Ben Campbell Johnson.</t>
  </si>
  <si>
    <t>Johnson, Ben Campbell.</t>
  </si>
  <si>
    <t>2007-05-29</t>
  </si>
  <si>
    <t>616877:eng</t>
  </si>
  <si>
    <t>37246671</t>
  </si>
  <si>
    <t>991002829079702656</t>
  </si>
  <si>
    <t>2267800230002656</t>
  </si>
  <si>
    <t>9780809137183</t>
  </si>
  <si>
    <t>32285003302964</t>
  </si>
  <si>
    <t>893504869</t>
  </si>
  <si>
    <t>BV4832.2 .M233</t>
  </si>
  <si>
    <t>0                      BV 4832200M  233</t>
  </si>
  <si>
    <t>The humility of God / by John Macquarrie.</t>
  </si>
  <si>
    <t>Philadelphia : Westminster Press, c1978.</t>
  </si>
  <si>
    <t>2001-06-17</t>
  </si>
  <si>
    <t>10580534:eng</t>
  </si>
  <si>
    <t>3543531</t>
  </si>
  <si>
    <t>991004461339702656</t>
  </si>
  <si>
    <t>2264876340002656</t>
  </si>
  <si>
    <t>9780664242008</t>
  </si>
  <si>
    <t>32285000969450</t>
  </si>
  <si>
    <t>893350018</t>
  </si>
  <si>
    <t>BV4832.2 .P75 1977</t>
  </si>
  <si>
    <t>0                      BV 4832200P  75          1977</t>
  </si>
  <si>
    <t>The well and the cathedral : with an introduction on its use in the practice of meditation / Ira Progoff.</t>
  </si>
  <si>
    <t>New York : Dialogue House Library, 1977.</t>
  </si>
  <si>
    <t>2d ed. enl.</t>
  </si>
  <si>
    <t>1998-07-14</t>
  </si>
  <si>
    <t>3855296604:eng</t>
  </si>
  <si>
    <t>2318423</t>
  </si>
  <si>
    <t>991004077379702656</t>
  </si>
  <si>
    <t>2266390500002656</t>
  </si>
  <si>
    <t>32285000969476</t>
  </si>
  <si>
    <t>893775582</t>
  </si>
  <si>
    <t>BV4832.2 .S5226 1990</t>
  </si>
  <si>
    <t>0                      BV 4832200S  5226        1990</t>
  </si>
  <si>
    <t>Short meditations on the Bible and Peanuts / Robert L. Short.</t>
  </si>
  <si>
    <t>Short, Robert L.</t>
  </si>
  <si>
    <t>2002-06-24</t>
  </si>
  <si>
    <t>1991-02-28</t>
  </si>
  <si>
    <t>158825961:eng</t>
  </si>
  <si>
    <t>21909896</t>
  </si>
  <si>
    <t>991001729749702656</t>
  </si>
  <si>
    <t>2269592600002656</t>
  </si>
  <si>
    <t>9780664251529</t>
  </si>
  <si>
    <t>32285000492289</t>
  </si>
  <si>
    <t>893315993</t>
  </si>
  <si>
    <t>BV4832.2 .S529 2000</t>
  </si>
  <si>
    <t>0                      BV 4832200S  529         2000</t>
  </si>
  <si>
    <t>Wisdom of the sadhu : teachings of Sundar Singh / compiled and edited by Kim Comer.</t>
  </si>
  <si>
    <t>Singh, Sundar, 1889-1929.</t>
  </si>
  <si>
    <t>Farmington, PA : Plough, 2000.</t>
  </si>
  <si>
    <t>2003-10-01</t>
  </si>
  <si>
    <t>290866927:eng</t>
  </si>
  <si>
    <t>44681689</t>
  </si>
  <si>
    <t>991003486789702656</t>
  </si>
  <si>
    <t>2259113140002656</t>
  </si>
  <si>
    <t>9780874869989</t>
  </si>
  <si>
    <t>32285004297601</t>
  </si>
  <si>
    <t>893416432</t>
  </si>
  <si>
    <t>BV4832.2 .T527 1963</t>
  </si>
  <si>
    <t>0                      BV 4832200T  527         1963</t>
  </si>
  <si>
    <t>Disciplines of the spirit / Howard Thurman.</t>
  </si>
  <si>
    <t>Thurman, Howard, 1900-1981.</t>
  </si>
  <si>
    <t>New York : Harper &amp; Row, c1963.</t>
  </si>
  <si>
    <t>2161112:eng</t>
  </si>
  <si>
    <t>1250070</t>
  </si>
  <si>
    <t>991005261239702656</t>
  </si>
  <si>
    <t>2263157330002656</t>
  </si>
  <si>
    <t>32285005456560</t>
  </si>
  <si>
    <t>893326484</t>
  </si>
  <si>
    <t>BV4832.2 .W34</t>
  </si>
  <si>
    <t>0                      BV 4832200W  34</t>
  </si>
  <si>
    <t>All men seek God : the quest for faith in the words of great leaders and thinkers / selected by Dean Walley. With illus. by Ronald M. LeHew.</t>
  </si>
  <si>
    <t>Walley, Dean, compiler.</t>
  </si>
  <si>
    <t>[Kansas City, Mo.] Hallmark Editions [c1968]</t>
  </si>
  <si>
    <t>4780244217:eng</t>
  </si>
  <si>
    <t>106586</t>
  </si>
  <si>
    <t>991000633179702656</t>
  </si>
  <si>
    <t>2263718740002656</t>
  </si>
  <si>
    <t>9780875290027</t>
  </si>
  <si>
    <t>32285000969674</t>
  </si>
  <si>
    <t>893432144</t>
  </si>
  <si>
    <t>BV4834 .S5413</t>
  </si>
  <si>
    <t>0                      BV 4834000S  5413</t>
  </si>
  <si>
    <t>Death by bread alone : texts and reflections on religious experience / Dorothee Soelle ; translated by David L. Scheidt.</t>
  </si>
  <si>
    <t>Sölle, Dorothee.</t>
  </si>
  <si>
    <t>Philadelphia : Fortress Press, c1978.</t>
  </si>
  <si>
    <t>1999-11-03</t>
  </si>
  <si>
    <t>1151105351:eng</t>
  </si>
  <si>
    <t>3870110</t>
  </si>
  <si>
    <t>991004536489702656</t>
  </si>
  <si>
    <t>2259202850002656</t>
  </si>
  <si>
    <t>9780800605148</t>
  </si>
  <si>
    <t>32285000969526</t>
  </si>
  <si>
    <t>893700364</t>
  </si>
  <si>
    <t>BV4843 .C85 1992</t>
  </si>
  <si>
    <t>0                      BV 4843000C  85          1992</t>
  </si>
  <si>
    <t>New Adam : the future of male spirituality / Philip Culbertson.</t>
  </si>
  <si>
    <t>Culbertson, Philip Leroy, 1944-</t>
  </si>
  <si>
    <t>Minneapolis : Fortress Press, c1992.</t>
  </si>
  <si>
    <t>2003-06-11</t>
  </si>
  <si>
    <t>1994-01-26</t>
  </si>
  <si>
    <t>367880340:eng</t>
  </si>
  <si>
    <t>24909226</t>
  </si>
  <si>
    <t>991001965599702656</t>
  </si>
  <si>
    <t>2271497240002656</t>
  </si>
  <si>
    <t>9780800625122</t>
  </si>
  <si>
    <t>32285001833697</t>
  </si>
  <si>
    <t>893791891</t>
  </si>
  <si>
    <t>BV489.F74 C363 1996</t>
  </si>
  <si>
    <t>0                      BV 0489000F  74                 C  363         1996</t>
  </si>
  <si>
    <t>Francis of Assisi's canticle of the creatures : a modern spiritual path / Paul M. Allen and Joan deRis Allen.</t>
  </si>
  <si>
    <t>Allen, Paul Marshall.</t>
  </si>
  <si>
    <t>New York : Continuum, 1996.</t>
  </si>
  <si>
    <t>1996-10-24</t>
  </si>
  <si>
    <t>837065018:eng</t>
  </si>
  <si>
    <t>33441794</t>
  </si>
  <si>
    <t>991002573859702656</t>
  </si>
  <si>
    <t>2262925790002656</t>
  </si>
  <si>
    <t>9780826408761</t>
  </si>
  <si>
    <t>32285002368693</t>
  </si>
  <si>
    <t>893427747</t>
  </si>
  <si>
    <t>BV489.F74 C37413 1977</t>
  </si>
  <si>
    <t>0                      BV 0489000F  74                 C  37413       1977</t>
  </si>
  <si>
    <t>The Canticle of creatures : symbols of union : an analysis of St. Francis of Assisi / by Éloi Leclerc ; translated by Matthew J. O'Connell.</t>
  </si>
  <si>
    <t>Leclerc, Éloi, 1921-2016.</t>
  </si>
  <si>
    <t>2005-09-11</t>
  </si>
  <si>
    <t>5379274:eng</t>
  </si>
  <si>
    <t>2493511</t>
  </si>
  <si>
    <t>991004139269702656</t>
  </si>
  <si>
    <t>2256756360002656</t>
  </si>
  <si>
    <t>9780819906243</t>
  </si>
  <si>
    <t>32285000902568</t>
  </si>
  <si>
    <t>893442248</t>
  </si>
  <si>
    <t>BV4905 .D8 1944</t>
  </si>
  <si>
    <t>0                      BV 4905000D  8           1944</t>
  </si>
  <si>
    <t>A key to happiness : the art of suffering / by Marguerite Duportal. Translated from the French by Romuald Pecasse, S. O. CIST.</t>
  </si>
  <si>
    <t>Duportal, Marguerite, 1869-</t>
  </si>
  <si>
    <t>Milwaukee : The Bruce publishing company, [1944]</t>
  </si>
  <si>
    <t>Religion and culture series</t>
  </si>
  <si>
    <t>1998-08-30</t>
  </si>
  <si>
    <t>423858009:eng</t>
  </si>
  <si>
    <t>2476365</t>
  </si>
  <si>
    <t>991004132889702656</t>
  </si>
  <si>
    <t>2269364110002656</t>
  </si>
  <si>
    <t>32285000969559</t>
  </si>
  <si>
    <t>893535828</t>
  </si>
  <si>
    <t>BV4905 .M272 1952</t>
  </si>
  <si>
    <t>0                      BV 4905000M  272         1952</t>
  </si>
  <si>
    <t>Suffering with Christ : an anthology of the writings of Dom Columba Marmion / compiled by Raymund Thibaut.</t>
  </si>
  <si>
    <t>Marmion, Columba, 1858-1923.</t>
  </si>
  <si>
    <t>2010-07-26</t>
  </si>
  <si>
    <t>5083621:eng</t>
  </si>
  <si>
    <t>2471340</t>
  </si>
  <si>
    <t>991004131639702656</t>
  </si>
  <si>
    <t>2259518800002656</t>
  </si>
  <si>
    <t>32285000969567</t>
  </si>
  <si>
    <t>893519277</t>
  </si>
  <si>
    <t>BV4905 .P383 1963</t>
  </si>
  <si>
    <t>0                      BV 4905000P  383         1963</t>
  </si>
  <si>
    <t>Joy in the face of death / by Alphonse de Parvillez. Translated by Pierre de Fontnouvelle.</t>
  </si>
  <si>
    <t>Parvillez, Alphonse de.</t>
  </si>
  <si>
    <t>New York : Desclee, 1963.</t>
  </si>
  <si>
    <t>1992-06-21</t>
  </si>
  <si>
    <t>4239985192:eng</t>
  </si>
  <si>
    <t>2659556</t>
  </si>
  <si>
    <t>991004204099702656</t>
  </si>
  <si>
    <t>2256410080002656</t>
  </si>
  <si>
    <t>32285000969575</t>
  </si>
  <si>
    <t>893506542</t>
  </si>
  <si>
    <t>BV4905.2 .G73 1975</t>
  </si>
  <si>
    <t>0                      BV 4905200G  73          1975</t>
  </si>
  <si>
    <t>Consolation philosophy : Greek and Christian paideia in Basil and the two Gregories / by Robert C. Gregg.</t>
  </si>
  <si>
    <t>Gregg, Robert C.</t>
  </si>
  <si>
    <t>Cambridge, Mass. : Philadelphia Patristic Foundation : [sole distributors, Greeno, Hadden], 1975.</t>
  </si>
  <si>
    <t>Patristic monograph series ; no. 3</t>
  </si>
  <si>
    <t>2007-12-04</t>
  </si>
  <si>
    <t>2005069:eng</t>
  </si>
  <si>
    <t>2113883</t>
  </si>
  <si>
    <t>991004017139702656</t>
  </si>
  <si>
    <t>2262866220002656</t>
  </si>
  <si>
    <t>32285000969583</t>
  </si>
  <si>
    <t>893324828</t>
  </si>
  <si>
    <t>BV4905.2 .L48 1985</t>
  </si>
  <si>
    <t>0                      BV 4905200L  48          1985</t>
  </si>
  <si>
    <t>Healing the greatest hurt / Dennis Linn, Matthew Linn, Sheila Fabricant.</t>
  </si>
  <si>
    <t>Linn, Dennis.</t>
  </si>
  <si>
    <t>2009-06-02</t>
  </si>
  <si>
    <t>1991-03-11</t>
  </si>
  <si>
    <t>4494938252:eng</t>
  </si>
  <si>
    <t>13219268</t>
  </si>
  <si>
    <t>991000800459702656</t>
  </si>
  <si>
    <t>2260986510002656</t>
  </si>
  <si>
    <t>9780809127146</t>
  </si>
  <si>
    <t>32285000535186</t>
  </si>
  <si>
    <t>893865694</t>
  </si>
  <si>
    <t>BV4905.2 .P43 1987</t>
  </si>
  <si>
    <t>0                      BV 4905200P  43          1987</t>
  </si>
  <si>
    <t>Learning to say goodbye : dealing with death and dying / by Rosalie Peck and Charlotte Stefanics.</t>
  </si>
  <si>
    <t>Peck, Rosalie.</t>
  </si>
  <si>
    <t>Muncie, IN : Accelerated Development Inc., c1987.</t>
  </si>
  <si>
    <t>2004-04-20</t>
  </si>
  <si>
    <t>2940381:eng</t>
  </si>
  <si>
    <t>16856952</t>
  </si>
  <si>
    <t>991001156059702656</t>
  </si>
  <si>
    <t>2255523580002656</t>
  </si>
  <si>
    <t>9780915202713</t>
  </si>
  <si>
    <t>32285000132737</t>
  </si>
  <si>
    <t>893420122</t>
  </si>
  <si>
    <t>BV4907 .S58</t>
  </si>
  <si>
    <t>0                      BV 4907000S  58</t>
  </si>
  <si>
    <t>Children in the New England mind : in death and in life / by Peter Gregg Slater.</t>
  </si>
  <si>
    <t>Slater, Peter Gregg, 1940-</t>
  </si>
  <si>
    <t>Hamden, Conn. : Archon Books, 1977.</t>
  </si>
  <si>
    <t>2009-05-18</t>
  </si>
  <si>
    <t>417635:eng</t>
  </si>
  <si>
    <t>2964823</t>
  </si>
  <si>
    <t>991004296229702656</t>
  </si>
  <si>
    <t>2272452900002656</t>
  </si>
  <si>
    <t>9780208016522</t>
  </si>
  <si>
    <t>32285000969591</t>
  </si>
  <si>
    <t>893411351</t>
  </si>
  <si>
    <t>BV4908 .C87 1990</t>
  </si>
  <si>
    <t>0                      BV 4908000C  87          1990</t>
  </si>
  <si>
    <t>When your spouse dies : a concise and practical source of help and advice / Cathleen L. Curry.</t>
  </si>
  <si>
    <t>Curry, Cathleen L.</t>
  </si>
  <si>
    <t>Notre Dame, IN : Ave Maria Press, c1990.</t>
  </si>
  <si>
    <t>22667431:eng</t>
  </si>
  <si>
    <t>21038722</t>
  </si>
  <si>
    <t>991005090499702656</t>
  </si>
  <si>
    <t>2256674220002656</t>
  </si>
  <si>
    <t>9780877934165</t>
  </si>
  <si>
    <t>32285005316384</t>
  </si>
  <si>
    <t>893694744</t>
  </si>
  <si>
    <t>BV4908.5 .R38 1992</t>
  </si>
  <si>
    <t>0                      BV 4908500R  38          1992</t>
  </si>
  <si>
    <t>Who told you that you were naked? : freedom from judgment, guilt, and fear of punishment / John Jacob Raub.</t>
  </si>
  <si>
    <t>Raub, John Jacob.</t>
  </si>
  <si>
    <t>New York : Crossroad, 1992.</t>
  </si>
  <si>
    <t>2008-08-15</t>
  </si>
  <si>
    <t>1020766:eng</t>
  </si>
  <si>
    <t>25675927</t>
  </si>
  <si>
    <t>991004203789702656</t>
  </si>
  <si>
    <t>2267001040002656</t>
  </si>
  <si>
    <t>9780824512033</t>
  </si>
  <si>
    <t>32285004846548</t>
  </si>
  <si>
    <t>893325067</t>
  </si>
  <si>
    <t>BV4909 .I86 1982</t>
  </si>
  <si>
    <t>0                      BV 4909000I  86          1982</t>
  </si>
  <si>
    <t>The pain that heals : the place of suffering in the growth of the person / Martin Israel.</t>
  </si>
  <si>
    <t>New York : Crossroad, 1982, c1981.</t>
  </si>
  <si>
    <t>491107:eng</t>
  </si>
  <si>
    <t>8562605</t>
  </si>
  <si>
    <t>991000019859702656</t>
  </si>
  <si>
    <t>2259235110002656</t>
  </si>
  <si>
    <t>9780824504373</t>
  </si>
  <si>
    <t>32285000969609</t>
  </si>
  <si>
    <t>893708017</t>
  </si>
  <si>
    <t>BV4910 .B68</t>
  </si>
  <si>
    <t>0                      BV 4910000B  68</t>
  </si>
  <si>
    <t>The importance of being sick : a Christian reflection / by Leonard Bowman.</t>
  </si>
  <si>
    <t>Bowman, Leonard J.</t>
  </si>
  <si>
    <t>[Wilmington, N.C.] : Consortium, c1976.</t>
  </si>
  <si>
    <t>ncu</t>
  </si>
  <si>
    <t>5123175:eng</t>
  </si>
  <si>
    <t>2474313</t>
  </si>
  <si>
    <t>991004132339702656</t>
  </si>
  <si>
    <t>2259078040002656</t>
  </si>
  <si>
    <t>9780843406047</t>
  </si>
  <si>
    <t>32285000969641</t>
  </si>
  <si>
    <t>893417267</t>
  </si>
  <si>
    <t>BV4910.3 .H37 1998</t>
  </si>
  <si>
    <t>0                      BV 4910300H  37          1998</t>
  </si>
  <si>
    <t>Loving men : gay partners, spirituality, and AIDS / Richard P. Hardy.</t>
  </si>
  <si>
    <t>Hardy, Richard P.</t>
  </si>
  <si>
    <t>2002-08-26</t>
  </si>
  <si>
    <t>1998-12-16</t>
  </si>
  <si>
    <t>41693554:eng</t>
  </si>
  <si>
    <t>39261844</t>
  </si>
  <si>
    <t>991002947419702656</t>
  </si>
  <si>
    <t>2265709160002656</t>
  </si>
  <si>
    <t>9780826411389</t>
  </si>
  <si>
    <t>32285003506952</t>
  </si>
  <si>
    <t>893511391</t>
  </si>
  <si>
    <t>BV4910.9 .H88 1999</t>
  </si>
  <si>
    <t>0                      BV 4910900H  88          1999</t>
  </si>
  <si>
    <t>May I walk you home? : courage and comfort for caregivers of the very ill : stories / by Joyce Hutchison ; prayers by Joyce Rupp.</t>
  </si>
  <si>
    <t>Hutchison, Joyce.</t>
  </si>
  <si>
    <t>Notre Dame, Ind. : Ave Maria Press, 1999.</t>
  </si>
  <si>
    <t>2009-09-01</t>
  </si>
  <si>
    <t>1999-03-30</t>
  </si>
  <si>
    <t>4163521038:eng</t>
  </si>
  <si>
    <t>39887082</t>
  </si>
  <si>
    <t>991002974749702656</t>
  </si>
  <si>
    <t>2265530580002656</t>
  </si>
  <si>
    <t>9780877936701</t>
  </si>
  <si>
    <t>32285003547592</t>
  </si>
  <si>
    <t>893257933</t>
  </si>
  <si>
    <t>BV4916 .B324</t>
  </si>
  <si>
    <t>0                      BV 4916000B  324</t>
  </si>
  <si>
    <t>The new birth : a naturalistic view of religious conversion / by Joe Edward Barnhart and Mary Ann Barnhart.</t>
  </si>
  <si>
    <t>Macon, Ga. : Mercer University Press, c1981.</t>
  </si>
  <si>
    <t>2005-07-08</t>
  </si>
  <si>
    <t>1997-09-26</t>
  </si>
  <si>
    <t>54455886:eng</t>
  </si>
  <si>
    <t>7738454</t>
  </si>
  <si>
    <t>991005155119702656</t>
  </si>
  <si>
    <t>2258050420002656</t>
  </si>
  <si>
    <t>9780865540095</t>
  </si>
  <si>
    <t>32285000969666</t>
  </si>
  <si>
    <t>893430956</t>
  </si>
  <si>
    <t>BV4916 .B326 1990</t>
  </si>
  <si>
    <t>0                      BV 4916000B  326         1990</t>
  </si>
  <si>
    <t>Now choose life : conversion as the way to life / William A. Barry.</t>
  </si>
  <si>
    <t>Barry, William A.</t>
  </si>
  <si>
    <t>2007-11-29</t>
  </si>
  <si>
    <t>1991-09-27</t>
  </si>
  <si>
    <t>24278692:eng</t>
  </si>
  <si>
    <t>22624441</t>
  </si>
  <si>
    <t>991001797739702656</t>
  </si>
  <si>
    <t>2271563100002656</t>
  </si>
  <si>
    <t>9780809132300</t>
  </si>
  <si>
    <t>32285000725340</t>
  </si>
  <si>
    <t>893444808</t>
  </si>
  <si>
    <t>BV4916 .B33</t>
  </si>
  <si>
    <t>0                      BV 4916000B  33</t>
  </si>
  <si>
    <t>Commitment without ideology : the experience of Christian growth / by C. Daniel Batson, J. Christiaan Beker [and] W. Malcolm Clark.</t>
  </si>
  <si>
    <t>Batson, C. Daniel (Charles Daniel), 1943-</t>
  </si>
  <si>
    <t>Philadelphia United Church Press [1973]</t>
  </si>
  <si>
    <t>836717739:eng</t>
  </si>
  <si>
    <t>524204</t>
  </si>
  <si>
    <t>991002916449702656</t>
  </si>
  <si>
    <t>2261304140002656</t>
  </si>
  <si>
    <t>9780829802450</t>
  </si>
  <si>
    <t>32285001074573</t>
  </si>
  <si>
    <t>893257880</t>
  </si>
  <si>
    <t>BV4916 .C64 1986</t>
  </si>
  <si>
    <t>0                      BV 4916000C  64          1986</t>
  </si>
  <si>
    <t>Christian conversion : a developmental interpretation of autonomy and surrender / Walter Conn.</t>
  </si>
  <si>
    <t>New York : Paulist Press, c1986.</t>
  </si>
  <si>
    <t>2009-11-04</t>
  </si>
  <si>
    <t>206815473:eng</t>
  </si>
  <si>
    <t>14072106</t>
  </si>
  <si>
    <t>991000904019702656</t>
  </si>
  <si>
    <t>2259739960002656</t>
  </si>
  <si>
    <t>9780809127832</t>
  </si>
  <si>
    <t>32285000969682</t>
  </si>
  <si>
    <t>893897325</t>
  </si>
  <si>
    <t>BV4916 .C65 1984</t>
  </si>
  <si>
    <t>0                      BV 4916000C  65          1984</t>
  </si>
  <si>
    <t>Conversion and the catechumenate / edited by Robert D. Duggan.</t>
  </si>
  <si>
    <t>4056866:eng</t>
  </si>
  <si>
    <t>11287334</t>
  </si>
  <si>
    <t>991000515429702656</t>
  </si>
  <si>
    <t>2271154170002656</t>
  </si>
  <si>
    <t>9780809126149</t>
  </si>
  <si>
    <t>32285000637115</t>
  </si>
  <si>
    <t>893432031</t>
  </si>
  <si>
    <t>BV4916 .C68 1996</t>
  </si>
  <si>
    <t>0                      BV 4916000C  68          1996</t>
  </si>
  <si>
    <t>Conversion to modernities : the globalization of Christianity / edited by Peter van der Veer.</t>
  </si>
  <si>
    <t>New York : Routledge, 1996.</t>
  </si>
  <si>
    <t>Zones of religion</t>
  </si>
  <si>
    <t>2005-11-08</t>
  </si>
  <si>
    <t>1996-04-16</t>
  </si>
  <si>
    <t>318980696:eng</t>
  </si>
  <si>
    <t>32396794</t>
  </si>
  <si>
    <t>991002490599702656</t>
  </si>
  <si>
    <t>2256515670002656</t>
  </si>
  <si>
    <t>9780415912730</t>
  </si>
  <si>
    <t>32285002153244</t>
  </si>
  <si>
    <t>893316880</t>
  </si>
  <si>
    <t>BV4916 .K46 1992</t>
  </si>
  <si>
    <t>0                      BV 4916000K  46          1992</t>
  </si>
  <si>
    <t>Lonergan on conversion : applications for religious formation / Mary Kay Kinberger.</t>
  </si>
  <si>
    <t>Kinberger, Mary Kay.</t>
  </si>
  <si>
    <t>New York : P. Lang, c1992.</t>
  </si>
  <si>
    <t>American university studies. Series VII, Theology and religion, 0740-0446 ; vol. 124</t>
  </si>
  <si>
    <t>2002-10-03</t>
  </si>
  <si>
    <t>1996-04-04</t>
  </si>
  <si>
    <t>897771755:eng</t>
  </si>
  <si>
    <t>24318344</t>
  </si>
  <si>
    <t>991001924959702656</t>
  </si>
  <si>
    <t>2272631180002656</t>
  </si>
  <si>
    <t>9780820417431</t>
  </si>
  <si>
    <t>32285002150539</t>
  </si>
  <si>
    <t>893322364</t>
  </si>
  <si>
    <t>BV4916.3 .C655 2003</t>
  </si>
  <si>
    <t>0                      BV 4916300C  655         2003</t>
  </si>
  <si>
    <t>Conversion in late antiquity and the early Middle Ages : seeing and believing / edited by Kenneth Mills and Anthony Grafton.</t>
  </si>
  <si>
    <t>Rochester, N.Y. : University of Rochester Press ; Suffolk, UK : Boydell &amp; Brewer, 2003.</t>
  </si>
  <si>
    <t>Studies in comparative history, 1539-4905</t>
  </si>
  <si>
    <t>2004-01-21</t>
  </si>
  <si>
    <t>837869300:eng</t>
  </si>
  <si>
    <t>51842135</t>
  </si>
  <si>
    <t>991004204189702656</t>
  </si>
  <si>
    <t>2269280790002656</t>
  </si>
  <si>
    <t>9781580461252</t>
  </si>
  <si>
    <t>32285004635750</t>
  </si>
  <si>
    <t>893417361</t>
  </si>
  <si>
    <t>BV4930 .C63 1983</t>
  </si>
  <si>
    <t>0                      BV 4930000C  63          1983</t>
  </si>
  <si>
    <t>Conversions : the Christian experience / edited by Hugh T. Kerr and John M. Mulder.</t>
  </si>
  <si>
    <t>Grand Rapids, Mich. : W.B. Eerdmans Pub. Co., c1983.</t>
  </si>
  <si>
    <t>2008-10-03</t>
  </si>
  <si>
    <t>65599059:eng</t>
  </si>
  <si>
    <t>9392717</t>
  </si>
  <si>
    <t>991000182649702656</t>
  </si>
  <si>
    <t>2268634110002656</t>
  </si>
  <si>
    <t>9780802835871</t>
  </si>
  <si>
    <t>32285000969716</t>
  </si>
  <si>
    <t>893884207</t>
  </si>
  <si>
    <t>BV4930 .G86 1988</t>
  </si>
  <si>
    <t>0                      BV 4930000G  86          1988</t>
  </si>
  <si>
    <t>Celibacy : renewing the gift, releasing the power / Raymond J. Gunzel.</t>
  </si>
  <si>
    <t>Gunzel, Raymond J.</t>
  </si>
  <si>
    <t>Kansas City, Mo. : Sheed &amp; Ward, 1988.</t>
  </si>
  <si>
    <t>2219615238:eng</t>
  </si>
  <si>
    <t>19032449</t>
  </si>
  <si>
    <t>991001426559702656</t>
  </si>
  <si>
    <t>2257124610002656</t>
  </si>
  <si>
    <t>9781556121975</t>
  </si>
  <si>
    <t>32285000122985</t>
  </si>
  <si>
    <t>893791440</t>
  </si>
  <si>
    <t>BV4935.C63 A33</t>
  </si>
  <si>
    <t>0                      BV 4935000C  63                 A  33</t>
  </si>
  <si>
    <t>Born again / Charles W. Colson.</t>
  </si>
  <si>
    <t>Colson, Charles W.</t>
  </si>
  <si>
    <t>Old Tappan, N.J. : Chosen Books : distributed by F. H. Revell Co., c1976, 1977 printing.</t>
  </si>
  <si>
    <t>2007-08-29</t>
  </si>
  <si>
    <t>449406:eng</t>
  </si>
  <si>
    <t>1959557</t>
  </si>
  <si>
    <t>991003953429702656</t>
  </si>
  <si>
    <t>2266105840002656</t>
  </si>
  <si>
    <t>9780912376134</t>
  </si>
  <si>
    <t>32285000969724</t>
  </si>
  <si>
    <t>893423201</t>
  </si>
  <si>
    <t>BV5 .M57</t>
  </si>
  <si>
    <t>0                      BV 0005000M  57</t>
  </si>
  <si>
    <t>The meaning of ritual / by Leonel L. Mitchell.</t>
  </si>
  <si>
    <t>Mitchell, Leonel L. (Leonel Lake), 1930-</t>
  </si>
  <si>
    <t>1999-10-20</t>
  </si>
  <si>
    <t>9857793:eng</t>
  </si>
  <si>
    <t>3379758</t>
  </si>
  <si>
    <t>991004419199702656</t>
  </si>
  <si>
    <t>2256475620002656</t>
  </si>
  <si>
    <t>9780809120352</t>
  </si>
  <si>
    <t>32285000809714</t>
  </si>
  <si>
    <t>893794840</t>
  </si>
  <si>
    <t>BV5021 .M37 1930</t>
  </si>
  <si>
    <t>0                      BV 5021000M  37          1930</t>
  </si>
  <si>
    <t>The Christian life and the spiritual life : introduction to the study of ascetical and mystical theology / by V. E. Masson, O. P. ; translated by Sr. M. Hyacinth, O. P.</t>
  </si>
  <si>
    <t>Masson, Yves Ernest, 1883-</t>
  </si>
  <si>
    <t>London : Sands &amp; co. ; St. Louis, Mo. : Botterder book co., [1930]</t>
  </si>
  <si>
    <t>1930</t>
  </si>
  <si>
    <t>Catholic library of religious knowledge ; XVI</t>
  </si>
  <si>
    <t>1998-04-28</t>
  </si>
  <si>
    <t>1992-03-16</t>
  </si>
  <si>
    <t>33732483:eng</t>
  </si>
  <si>
    <t>4027157</t>
  </si>
  <si>
    <t>991004570799702656</t>
  </si>
  <si>
    <t>2269900490002656</t>
  </si>
  <si>
    <t>32285000969773</t>
  </si>
  <si>
    <t>893593861</t>
  </si>
  <si>
    <t>BV5021 .P6 1953-55</t>
  </si>
  <si>
    <t>0                      BV 5021000P  6           1953                                        -55</t>
  </si>
  <si>
    <t>Christian spirituality / by Pierre Pourrat ; translated by Donald Attwater.</t>
  </si>
  <si>
    <t>Pourrat, P. (Pierre), 1871-</t>
  </si>
  <si>
    <t>Westminster, Md. : Newman Press, 1953-55.</t>
  </si>
  <si>
    <t>1991-12-20</t>
  </si>
  <si>
    <t>1998-07-09</t>
  </si>
  <si>
    <t>4648418061:eng</t>
  </si>
  <si>
    <t>511178</t>
  </si>
  <si>
    <t>991002890159702656</t>
  </si>
  <si>
    <t>2263891150002656</t>
  </si>
  <si>
    <t>32285000637040</t>
  </si>
  <si>
    <t>893511317</t>
  </si>
  <si>
    <t>32285000637057</t>
  </si>
  <si>
    <t>893511318</t>
  </si>
  <si>
    <t>BV5023 .A73 1990</t>
  </si>
  <si>
    <t>0                      BV 5023000A  73          1990</t>
  </si>
  <si>
    <t>Ascetic behavior in Greco-Roman antiquity : a sourcebook / Vincent L. Wimbush, editor.</t>
  </si>
  <si>
    <t>Mineapolis : Fortress Press, c1990.</t>
  </si>
  <si>
    <t>Studies in antiquity &amp; Christianity</t>
  </si>
  <si>
    <t>2008-03-28</t>
  </si>
  <si>
    <t>889699319:eng</t>
  </si>
  <si>
    <t>22240152</t>
  </si>
  <si>
    <t>991001758209702656</t>
  </si>
  <si>
    <t>2271504850002656</t>
  </si>
  <si>
    <t>9780800631055</t>
  </si>
  <si>
    <t>32285000865724</t>
  </si>
  <si>
    <t>893590609</t>
  </si>
  <si>
    <t>BV5030 .B3 1950</t>
  </si>
  <si>
    <t>0                      BV 5030000B  3           1950</t>
  </si>
  <si>
    <t>Holy wisdom ; or, Directions for the prayer of contemplation extracted out of more than forty treatises by the Ven. F. Augustin Baker / methodically digested by Serenus Cressy and now edited from the Douay ed. of 1657 by Abbot Sweeney.</t>
  </si>
  <si>
    <t>Baker, Augustine, 1575-1641.</t>
  </si>
  <si>
    <t>New York : Harper, [1950?]</t>
  </si>
  <si>
    <t>1950</t>
  </si>
  <si>
    <t>1995-10-26</t>
  </si>
  <si>
    <t>3858838031:eng</t>
  </si>
  <si>
    <t>4800108</t>
  </si>
  <si>
    <t>991004720089702656</t>
  </si>
  <si>
    <t>2267934130002656</t>
  </si>
  <si>
    <t>32285000969815</t>
  </si>
  <si>
    <t>893628331</t>
  </si>
  <si>
    <t>BV5031 .D8 1950</t>
  </si>
  <si>
    <t>0                      BV 5031000D  8           1950</t>
  </si>
  <si>
    <t>Psychiatry and asceticism / by Felix D. Duffey.</t>
  </si>
  <si>
    <t>Duffey, Felix D., 1903-</t>
  </si>
  <si>
    <t>St. Louis : B. Herder, 1950.</t>
  </si>
  <si>
    <t>1992-07-16</t>
  </si>
  <si>
    <t>2042714:eng</t>
  </si>
  <si>
    <t>1080031</t>
  </si>
  <si>
    <t>991003520019702656</t>
  </si>
  <si>
    <t>2268629790002656</t>
  </si>
  <si>
    <t>32285000969823</t>
  </si>
  <si>
    <t>893240291</t>
  </si>
  <si>
    <t>BV5031 .F37 1927</t>
  </si>
  <si>
    <t>0                      BV 5031000F  37          1927</t>
  </si>
  <si>
    <t>The ordinary ways of the spiritual life; a treatise on ascetical theology according to the principles of S. Teresa declared by the Carmelite Congress of Madrid (March,1923) for the use of seminaries, the clergy &amp; layfolk / by Albert Farges.</t>
  </si>
  <si>
    <t>Farges, Albert, 1848-1926.</t>
  </si>
  <si>
    <t>New York : Benziger Bros. [1927]</t>
  </si>
  <si>
    <t>2007-07-23</t>
  </si>
  <si>
    <t>1409541:eng</t>
  </si>
  <si>
    <t>3974116</t>
  </si>
  <si>
    <t>991004557579702656</t>
  </si>
  <si>
    <t>2266621240002656</t>
  </si>
  <si>
    <t>32285000969831</t>
  </si>
  <si>
    <t>893247718</t>
  </si>
  <si>
    <t>BV5031 .G6 1938</t>
  </si>
  <si>
    <t>0                      BV 5031000G  6           1938</t>
  </si>
  <si>
    <t>An introduction to the study of ascetical and mystical theology : the substance of seventeen lectures given at Heythrop college, Chipping Norton, Oxon / by Alban Goodier.</t>
  </si>
  <si>
    <t>London : Burns, Oates &amp; Washbourne, ltd. ; Milwaukee : Bruce Publ. Co., [1938]</t>
  </si>
  <si>
    <t>1938</t>
  </si>
  <si>
    <t>2002-06-03</t>
  </si>
  <si>
    <t>1916587:eng</t>
  </si>
  <si>
    <t>963621</t>
  </si>
  <si>
    <t>991003422719702656</t>
  </si>
  <si>
    <t>2260113270002656</t>
  </si>
  <si>
    <t>32285000969849</t>
  </si>
  <si>
    <t>893592506</t>
  </si>
  <si>
    <t>BV5031 .P3 1955</t>
  </si>
  <si>
    <t>0                      BV 5031000P  3           1955</t>
  </si>
  <si>
    <t>The ascetical life / by Pascal P. Parente.</t>
  </si>
  <si>
    <t>Parente, Pascal P., 1890-1971.</t>
  </si>
  <si>
    <t>St. Louis : Herder, [1955]</t>
  </si>
  <si>
    <t>2135999:eng</t>
  </si>
  <si>
    <t>1233894</t>
  </si>
  <si>
    <t>991003638689702656</t>
  </si>
  <si>
    <t>2262114400002656</t>
  </si>
  <si>
    <t>32285000969880</t>
  </si>
  <si>
    <t>893598787</t>
  </si>
  <si>
    <t>BV5034 .S32 1924</t>
  </si>
  <si>
    <t>0                      BV 5034000S  32          1924</t>
  </si>
  <si>
    <t>The Directorium asceticum, or, Guide to the spiritual life / by John Baptist Scaramelli ; with preface by His Eminence the Most Rev. Cardinal Archbishop Manning.</t>
  </si>
  <si>
    <t>Scaramelli, Giovanni Battista, 1687-1752.</t>
  </si>
  <si>
    <t>London : Burns, Oates &amp; Washbourne, 1924.</t>
  </si>
  <si>
    <t>1924</t>
  </si>
  <si>
    <t>8th ed.</t>
  </si>
  <si>
    <t>2003-06-23</t>
  </si>
  <si>
    <t>10792894459:eng</t>
  </si>
  <si>
    <t>8315668</t>
  </si>
  <si>
    <t>991005230509702656</t>
  </si>
  <si>
    <t>2272170070002656</t>
  </si>
  <si>
    <t>32285000969963</t>
  </si>
  <si>
    <t>893808042</t>
  </si>
  <si>
    <t>32285000969971</t>
  </si>
  <si>
    <t>893777069</t>
  </si>
  <si>
    <t>32285000969997</t>
  </si>
  <si>
    <t>893777067</t>
  </si>
  <si>
    <t>32285000969989</t>
  </si>
  <si>
    <t>893777068</t>
  </si>
  <si>
    <t>BV5045 .B88 1943</t>
  </si>
  <si>
    <t>0                      BV 5045000B  88          1943</t>
  </si>
  <si>
    <t>Be ye perfect / by William Butterfield.</t>
  </si>
  <si>
    <t>Butterfield, William.</t>
  </si>
  <si>
    <t>New York : Spiritual Book Associates, 1943.</t>
  </si>
  <si>
    <t>1995-04-05</t>
  </si>
  <si>
    <t>422769920:eng</t>
  </si>
  <si>
    <t>374420</t>
  </si>
  <si>
    <t>991002573819702656</t>
  </si>
  <si>
    <t>2262415560002656</t>
  </si>
  <si>
    <t>32285001015055</t>
  </si>
  <si>
    <t>893233126</t>
  </si>
  <si>
    <t>BV5052 .F73</t>
  </si>
  <si>
    <t>0                      BV 5052000F  73</t>
  </si>
  <si>
    <t>Teachings and counsels of St. Francis Xavier : gathered from his letters / St. Francis Xavier.</t>
  </si>
  <si>
    <t>Francis Xavier, Saint, 1506-1552.</t>
  </si>
  <si>
    <t>London, Burns &amp; Oates, 1888.</t>
  </si>
  <si>
    <t>1888</t>
  </si>
  <si>
    <t>Quarterly series ; v. 66</t>
  </si>
  <si>
    <t>2010-03-14</t>
  </si>
  <si>
    <t>17908184:eng</t>
  </si>
  <si>
    <t>5338109</t>
  </si>
  <si>
    <t>991004823179702656</t>
  </si>
  <si>
    <t>2268074460002656</t>
  </si>
  <si>
    <t>32285001015063</t>
  </si>
  <si>
    <t>893600272</t>
  </si>
  <si>
    <t>BV5053 .D68 1995</t>
  </si>
  <si>
    <t>0                      BV 5053000D  68          1995</t>
  </si>
  <si>
    <t>Group spiritual direction : community for discernment / Rose Mary Dougherty.</t>
  </si>
  <si>
    <t>Dougherty, Rose Mary, 1939-</t>
  </si>
  <si>
    <t>New York : Paulist Press, c1995.</t>
  </si>
  <si>
    <t>2008-07-10</t>
  </si>
  <si>
    <t>1996-07-08</t>
  </si>
  <si>
    <t>1151707841:eng</t>
  </si>
  <si>
    <t>32590380</t>
  </si>
  <si>
    <t>991002506739702656</t>
  </si>
  <si>
    <t>2272243930002656</t>
  </si>
  <si>
    <t>9780809135981</t>
  </si>
  <si>
    <t>32285002146180</t>
  </si>
  <si>
    <t>893433964</t>
  </si>
  <si>
    <t>BV5053 .E38</t>
  </si>
  <si>
    <t>0                      BV 5053000E  38</t>
  </si>
  <si>
    <t>Spiritual friend / Tilden H. Edwards.</t>
  </si>
  <si>
    <t>466237:eng</t>
  </si>
  <si>
    <t>6492351</t>
  </si>
  <si>
    <t>991004993519702656</t>
  </si>
  <si>
    <t>2264512790002656</t>
  </si>
  <si>
    <t>9780809122882</t>
  </si>
  <si>
    <t>32285000996115</t>
  </si>
  <si>
    <t>893338352</t>
  </si>
  <si>
    <t>BV5053 .J63 1982</t>
  </si>
  <si>
    <t>0                      BV 5053000J  63          1982</t>
  </si>
  <si>
    <t>Exploring spiritual direction : an essay on Christian friendship / Alan Jones.</t>
  </si>
  <si>
    <t>1995-07-24</t>
  </si>
  <si>
    <t>16142148:eng</t>
  </si>
  <si>
    <t>7944708</t>
  </si>
  <si>
    <t>991005179669702656</t>
  </si>
  <si>
    <t>2269719130002656</t>
  </si>
  <si>
    <t>9780816405060</t>
  </si>
  <si>
    <t>32285001015071</t>
  </si>
  <si>
    <t>893902256</t>
  </si>
  <si>
    <t>BV5053 .L59 2003</t>
  </si>
  <si>
    <t>0                      BV 5053000L  59          2003</t>
  </si>
  <si>
    <t>The lived experience of group spiritual direction / edited by Rose Mary Dougherty with Monica Maxon and Lynne Smith ; foreword by Tilden Edwards.</t>
  </si>
  <si>
    <t>2003-11-06</t>
  </si>
  <si>
    <t>704193:eng</t>
  </si>
  <si>
    <t>52041293</t>
  </si>
  <si>
    <t>991004167309702656</t>
  </si>
  <si>
    <t>2259042530002656</t>
  </si>
  <si>
    <t>9780809141760</t>
  </si>
  <si>
    <t>32285004794805</t>
  </si>
  <si>
    <t>893411199</t>
  </si>
  <si>
    <t>BV5053 .T47 1984</t>
  </si>
  <si>
    <t>0                      BV 5053000T  47          1984</t>
  </si>
  <si>
    <t>Spiritual direction / Martin Thornton.</t>
  </si>
  <si>
    <t>[United States] : Cowley, c1984.</t>
  </si>
  <si>
    <t>2007-07-27</t>
  </si>
  <si>
    <t>3400547:eng</t>
  </si>
  <si>
    <t>10850081</t>
  </si>
  <si>
    <t>991000445129702656</t>
  </si>
  <si>
    <t>2268871450002656</t>
  </si>
  <si>
    <t>9780936384177</t>
  </si>
  <si>
    <t>32285001015089</t>
  </si>
  <si>
    <t>893720688</t>
  </si>
  <si>
    <t>BV5053 .W74 1982</t>
  </si>
  <si>
    <t>0                      BV 5053000W  74          1982</t>
  </si>
  <si>
    <t>Writings on spiritual direction / by great Christian masters ; edited by Jerome M. Neufelder and Mary C. Coelho.</t>
  </si>
  <si>
    <t>New York : Seabury Press, c1982.</t>
  </si>
  <si>
    <t>2231953574:eng</t>
  </si>
  <si>
    <t>8169154</t>
  </si>
  <si>
    <t>991005211149702656</t>
  </si>
  <si>
    <t>2269745240002656</t>
  </si>
  <si>
    <t>9780816424207</t>
  </si>
  <si>
    <t>32285000229020</t>
  </si>
  <si>
    <t>893625628</t>
  </si>
  <si>
    <t>BV5068.R4 B46 1993</t>
  </si>
  <si>
    <t>0                      BV 5068000R  4                  B  46          1993</t>
  </si>
  <si>
    <t>Rejoice, O my soul : resources for a self-directed retreat / Michelle Bennett.</t>
  </si>
  <si>
    <t>Bennett, Michelle, 1946-</t>
  </si>
  <si>
    <t>New York : Paulist Press, c1993.</t>
  </si>
  <si>
    <t>1994-02-14</t>
  </si>
  <si>
    <t>30353109:eng</t>
  </si>
  <si>
    <t>28256094</t>
  </si>
  <si>
    <t>991002197189702656</t>
  </si>
  <si>
    <t>2261514300002656</t>
  </si>
  <si>
    <t>9780809134083</t>
  </si>
  <si>
    <t>32285001841849</t>
  </si>
  <si>
    <t>893798290</t>
  </si>
  <si>
    <t>BV5068.R4 C57 1994</t>
  </si>
  <si>
    <t>0                      BV 5068000R  4                  C  57          1994</t>
  </si>
  <si>
    <t>Sitting still / Patricia Hart Clifford.</t>
  </si>
  <si>
    <t>Clifford, Patricia Hart, 1944-</t>
  </si>
  <si>
    <t>New York, NY : Paulist Press, c1994.</t>
  </si>
  <si>
    <t>32264183:eng</t>
  </si>
  <si>
    <t>30318796</t>
  </si>
  <si>
    <t>991002328109702656</t>
  </si>
  <si>
    <t>2265359240002656</t>
  </si>
  <si>
    <t>9780809104703</t>
  </si>
  <si>
    <t>32285001971000</t>
  </si>
  <si>
    <t>893251092</t>
  </si>
  <si>
    <t>BV5068.R4 Y37 1991</t>
  </si>
  <si>
    <t>0                      BV 5068000R  4                  Y  37          1991</t>
  </si>
  <si>
    <t>Time for God : guidelines for a full-time or part-time retreat / by Edward Yarnold.</t>
  </si>
  <si>
    <t>Yarnold, Edward.</t>
  </si>
  <si>
    <t>London : Collins, 1991, c1990</t>
  </si>
  <si>
    <t>24523161:eng</t>
  </si>
  <si>
    <t>46453666</t>
  </si>
  <si>
    <t>991004529429702656</t>
  </si>
  <si>
    <t>2259291860002656</t>
  </si>
  <si>
    <t>32285005030316</t>
  </si>
  <si>
    <t>893801058</t>
  </si>
  <si>
    <t>BV5072 .H79</t>
  </si>
  <si>
    <t>0                      BV 5072000H  79</t>
  </si>
  <si>
    <t>Six opuscules spirituels / par Hugues de Saint-Victor. Introd., texte critique, traduction et notes par Roger Baron.</t>
  </si>
  <si>
    <t>Hugh, of Saint-Victor, 1096?-1141.</t>
  </si>
  <si>
    <t>Paris : Éditions du Cerf, 1969.</t>
  </si>
  <si>
    <t>Série des textes monastiques d'Occident; 28</t>
  </si>
  <si>
    <t>1993-06-29</t>
  </si>
  <si>
    <t>2114633:fre</t>
  </si>
  <si>
    <t>1172741</t>
  </si>
  <si>
    <t>991003590259702656</t>
  </si>
  <si>
    <t>2267147180002656</t>
  </si>
  <si>
    <t>32285001015105</t>
  </si>
  <si>
    <t>893258598</t>
  </si>
  <si>
    <t>BV5072 .J23 1977</t>
  </si>
  <si>
    <t>0                      BV 5072000J  23          1977</t>
  </si>
  <si>
    <t>An anthology of Christian mysticism / edited with biographical notes by Paul de Jaegher ; translated by Donald Attwater and others.</t>
  </si>
  <si>
    <t>Jaegher, Paul de, editor.</t>
  </si>
  <si>
    <t>Springfield, Ill. : Templegate Publishers, 1977.</t>
  </si>
  <si>
    <t>2005-04-06</t>
  </si>
  <si>
    <t>3901687589:eng</t>
  </si>
  <si>
    <t>3320733</t>
  </si>
  <si>
    <t>991004405549702656</t>
  </si>
  <si>
    <t>2272702580002656</t>
  </si>
  <si>
    <t>9780872430730</t>
  </si>
  <si>
    <t>32285001015113</t>
  </si>
  <si>
    <t>893888664</t>
  </si>
  <si>
    <t>BV5072 .P4</t>
  </si>
  <si>
    <t>0                      BV 5072000P  4</t>
  </si>
  <si>
    <t>Late medieval mysticism / edited by Ray C. Petry.</t>
  </si>
  <si>
    <t>Petry, Ray C., 1903-1992, editor.</t>
  </si>
  <si>
    <t>Philadelphia : Westminster Press, [1957]</t>
  </si>
  <si>
    <t>The Library of Christian classics, v. 13</t>
  </si>
  <si>
    <t>2005-07-27</t>
  </si>
  <si>
    <t>766871702:eng</t>
  </si>
  <si>
    <t>282860</t>
  </si>
  <si>
    <t>991002195709702656</t>
  </si>
  <si>
    <t>2266351590002656</t>
  </si>
  <si>
    <t>32285001015121</t>
  </si>
  <si>
    <t>893414927</t>
  </si>
  <si>
    <t>BV5072 .S3 1927</t>
  </si>
  <si>
    <t>0                      BV 5072000S  3           1927</t>
  </si>
  <si>
    <t>The life of union with God : and the means of attaining it, according to the great masters of spirituality / by E.J. Strickland. Translated from the 3d ed. of "La vie d'union à Dieu" by E.J. Strickland.</t>
  </si>
  <si>
    <t>Saudreau, Auguste, 1859-1946.</t>
  </si>
  <si>
    <t>London : Burns, Oates &amp; Washbourne ltd., [1927]</t>
  </si>
  <si>
    <t>2007-11-01</t>
  </si>
  <si>
    <t>10200912215:eng</t>
  </si>
  <si>
    <t>1192577</t>
  </si>
  <si>
    <t>991003610049702656</t>
  </si>
  <si>
    <t>2261719210002656</t>
  </si>
  <si>
    <t>32285001015139</t>
  </si>
  <si>
    <t>893531360</t>
  </si>
  <si>
    <t>BV5075 .F36 2001</t>
  </si>
  <si>
    <t>0                      BV 5075000F  36          2001</t>
  </si>
  <si>
    <t>Mystics of the Christian tradition / Steven Fanning.</t>
  </si>
  <si>
    <t>Fanning, Steven.</t>
  </si>
  <si>
    <t>London ; New York : Routledge, 2001.</t>
  </si>
  <si>
    <t>2007-11-24</t>
  </si>
  <si>
    <t>2003-03-24</t>
  </si>
  <si>
    <t>9353521:eng</t>
  </si>
  <si>
    <t>45610371</t>
  </si>
  <si>
    <t>991004001099702656</t>
  </si>
  <si>
    <t>2260340370002656</t>
  </si>
  <si>
    <t>9780415224673</t>
  </si>
  <si>
    <t>32285004686282</t>
  </si>
  <si>
    <t>893875572</t>
  </si>
  <si>
    <t>BV5075 .W34 1964</t>
  </si>
  <si>
    <t>0                      BV 5075000W  34          1964</t>
  </si>
  <si>
    <t>Spirituality through the centuries : ascetics and mystics of the Western Church / edited and introduced by James Walsh.</t>
  </si>
  <si>
    <t>Walsh, James, 1920-1986, editor.</t>
  </si>
  <si>
    <t>New York : P. J. Kenedy, [1964]</t>
  </si>
  <si>
    <t>2006-09-17</t>
  </si>
  <si>
    <t>1992-03-18</t>
  </si>
  <si>
    <t>1046387756:eng</t>
  </si>
  <si>
    <t>384221</t>
  </si>
  <si>
    <t>991002640639702656</t>
  </si>
  <si>
    <t>2256315410002656</t>
  </si>
  <si>
    <t>32285001015238</t>
  </si>
  <si>
    <t>893616363</t>
  </si>
  <si>
    <t>BV5077.E53 M54 1996</t>
  </si>
  <si>
    <t>0                      BV 5077000E  53                 M  54          1996</t>
  </si>
  <si>
    <t>The way of the English mystics : an anthology and guide for pilgrims / Gordon L. Miller.</t>
  </si>
  <si>
    <t>Miller, Gordon L.</t>
  </si>
  <si>
    <t>Ridgefield, CT : Morehouse Pub., 1996.</t>
  </si>
  <si>
    <t>1997-02-25</t>
  </si>
  <si>
    <t>803163011:eng</t>
  </si>
  <si>
    <t>35681621</t>
  </si>
  <si>
    <t>991002721339702656</t>
  </si>
  <si>
    <t>2260301530002656</t>
  </si>
  <si>
    <t>9780819216755</t>
  </si>
  <si>
    <t>32285002433034</t>
  </si>
  <si>
    <t>893597792</t>
  </si>
  <si>
    <t>BV5077.E54 P76 1996</t>
  </si>
  <si>
    <t>0                      BV 5077000E  54                 P  76          1996</t>
  </si>
  <si>
    <t>Prophets abroad : the reception of Continental holy women in late-medieval England / edited by Rosalynn Voaden.</t>
  </si>
  <si>
    <t>Cambridge ; Rochester, NY, USA : D.S. Brewer, 1996.</t>
  </si>
  <si>
    <t>2000-03-14</t>
  </si>
  <si>
    <t>1997-10-21</t>
  </si>
  <si>
    <t>799394201:eng</t>
  </si>
  <si>
    <t>34772114</t>
  </si>
  <si>
    <t>991002660099702656</t>
  </si>
  <si>
    <t>2263145910002656</t>
  </si>
  <si>
    <t>9780859914253</t>
  </si>
  <si>
    <t>32285003257192</t>
  </si>
  <si>
    <t>893804860</t>
  </si>
  <si>
    <t>BV5077.E853 D37 1988</t>
  </si>
  <si>
    <t>0                      BV 5077000E  853                D  37          1988</t>
  </si>
  <si>
    <t>God within : the mystical tradition of northern Europe / Oliver Davies ; foreword by Rowan Williams.</t>
  </si>
  <si>
    <t>Davies, Oliver.</t>
  </si>
  <si>
    <t>New York : Paulist Press, 1988.</t>
  </si>
  <si>
    <t>2006-09-09</t>
  </si>
  <si>
    <t>1042370936:eng</t>
  </si>
  <si>
    <t>18684293</t>
  </si>
  <si>
    <t>991001382019702656</t>
  </si>
  <si>
    <t>2264662210002656</t>
  </si>
  <si>
    <t>9780809130412</t>
  </si>
  <si>
    <t>32285000013739</t>
  </si>
  <si>
    <t>893509588</t>
  </si>
  <si>
    <t>BV5077.G7 C63 1961</t>
  </si>
  <si>
    <t>0                      BV 5077000G  7                  C  63          1961</t>
  </si>
  <si>
    <t>The mediaeval mystics of England / edited and with an introd. by Eric Colledge. Elmer O'Brien [general editor]</t>
  </si>
  <si>
    <t>Colledge, Edmund editor.</t>
  </si>
  <si>
    <t>New York : Scribner, [1961]</t>
  </si>
  <si>
    <t>2010-09-20</t>
  </si>
  <si>
    <t>10201019486:eng</t>
  </si>
  <si>
    <t>384145</t>
  </si>
  <si>
    <t>991002640489702656</t>
  </si>
  <si>
    <t>2256344900002656</t>
  </si>
  <si>
    <t>32285000637024</t>
  </si>
  <si>
    <t>893622523</t>
  </si>
  <si>
    <t>BV5077.G7 K58 1961</t>
  </si>
  <si>
    <t>0                      BV 5077000G  7                  K  58          1961</t>
  </si>
  <si>
    <t>The English mystical tradition / David Knowles.</t>
  </si>
  <si>
    <t>Knowles, David, 1896-1974.</t>
  </si>
  <si>
    <t>New York : Harper, [1961]</t>
  </si>
  <si>
    <t>2010-09-14</t>
  </si>
  <si>
    <t>62663059:eng</t>
  </si>
  <si>
    <t>1823929</t>
  </si>
  <si>
    <t>991003900929702656</t>
  </si>
  <si>
    <t>2255491420002656</t>
  </si>
  <si>
    <t>32285001015246</t>
  </si>
  <si>
    <t>893599181</t>
  </si>
  <si>
    <t>BV5077.G7 L33</t>
  </si>
  <si>
    <t>0                      BV 5077000G  7                  L  33</t>
  </si>
  <si>
    <t>The 14th-century English mystics : a comprehensive annotated bibliography / Valerie Marie Lagorio, Ritamary Bardley.</t>
  </si>
  <si>
    <t>Lagorio, Valerie Marie, 1925-</t>
  </si>
  <si>
    <t>New York : Garland Pub., 1981.</t>
  </si>
  <si>
    <t>Garland reference library of the humanities ; v. 190</t>
  </si>
  <si>
    <t>2005-01-12</t>
  </si>
  <si>
    <t>20563686:eng</t>
  </si>
  <si>
    <t>7196881</t>
  </si>
  <si>
    <t>991005086419702656</t>
  </si>
  <si>
    <t>2255723930002656</t>
  </si>
  <si>
    <t>9780824095352</t>
  </si>
  <si>
    <t>32285001015253</t>
  </si>
  <si>
    <t>893707227</t>
  </si>
  <si>
    <t>BV5077.G7 M44 1984</t>
  </si>
  <si>
    <t>0                      BV 5077000G  7                  M  44          1984</t>
  </si>
  <si>
    <t>The Medieval mystical tradition in England : papers read at Dartington Hall, July 1984 / edited by Marion Glasscoe.</t>
  </si>
  <si>
    <t>Cambridge : D.S. Brewer, c1984.</t>
  </si>
  <si>
    <t>2000-03-13</t>
  </si>
  <si>
    <t>5377490415:eng</t>
  </si>
  <si>
    <t>12519549</t>
  </si>
  <si>
    <t>991000524019702656</t>
  </si>
  <si>
    <t>2267453500002656</t>
  </si>
  <si>
    <t>9780859911603</t>
  </si>
  <si>
    <t>32285001015261</t>
  </si>
  <si>
    <t>893508859</t>
  </si>
  <si>
    <t>BV5077.G7 P4 1958</t>
  </si>
  <si>
    <t>0                      BV 5077000G  7                  P  4           1958</t>
  </si>
  <si>
    <t>The English religious heritage / by Conrad Pepler.</t>
  </si>
  <si>
    <t>Pepler, Conrad.</t>
  </si>
  <si>
    <t>St. Louis : Herder, [1958]</t>
  </si>
  <si>
    <t>1999-03-24</t>
  </si>
  <si>
    <t>217323233:eng</t>
  </si>
  <si>
    <t>1516290</t>
  </si>
  <si>
    <t>991003795119702656</t>
  </si>
  <si>
    <t>2261949750002656</t>
  </si>
  <si>
    <t>32285001015279</t>
  </si>
  <si>
    <t>893518876</t>
  </si>
  <si>
    <t>BV5077.G7 W3 1965</t>
  </si>
  <si>
    <t>0                      BV 5077000G  7                  W  3           1965</t>
  </si>
  <si>
    <t>Pre-Reformation English spirituality / edited and introduced by James Walsh, S.J.</t>
  </si>
  <si>
    <t>London : Burns &amp; Oates, [1965]</t>
  </si>
  <si>
    <t>1468720:eng</t>
  </si>
  <si>
    <t>4352754</t>
  </si>
  <si>
    <t>991004627969702656</t>
  </si>
  <si>
    <t>2269034270002656</t>
  </si>
  <si>
    <t>32285001015287</t>
  </si>
  <si>
    <t>893706638</t>
  </si>
  <si>
    <t>BV5077.R8 B6413 1976</t>
  </si>
  <si>
    <t>0                      BV 5077000R  8                  B  6413        1976</t>
  </si>
  <si>
    <t>Russian mystics / by Sergius Bolshakoff ; introd. by Thomas Merton.</t>
  </si>
  <si>
    <t>Bolshakoff, Serge.</t>
  </si>
  <si>
    <t>Kalamazoo, Mich. : Cistercian Publications, c1976</t>
  </si>
  <si>
    <t>Cistercian studies series ; no. 26</t>
  </si>
  <si>
    <t>583340:eng</t>
  </si>
  <si>
    <t>2758314</t>
  </si>
  <si>
    <t>991004233969702656</t>
  </si>
  <si>
    <t>2261620530002656</t>
  </si>
  <si>
    <t>9780879078263</t>
  </si>
  <si>
    <t>32285003515003</t>
  </si>
  <si>
    <t>893429815</t>
  </si>
  <si>
    <t>BV5077.S7 H35 2002</t>
  </si>
  <si>
    <t>0                      BV 5077000S  7                  H  35          2002</t>
  </si>
  <si>
    <t>Between exaltation and infamy : female mystics in the golden age of Spain / Stephen Haliczer.</t>
  </si>
  <si>
    <t>Haliczer, Stephen, 1942-</t>
  </si>
  <si>
    <t>Oxford ; New York : Oxford University Press, 2002.</t>
  </si>
  <si>
    <t>2010-09-13</t>
  </si>
  <si>
    <t>2003-12-15</t>
  </si>
  <si>
    <t>9529452:eng</t>
  </si>
  <si>
    <t>47091970</t>
  </si>
  <si>
    <t>991004165779702656</t>
  </si>
  <si>
    <t>2271223460002656</t>
  </si>
  <si>
    <t>9780195148510</t>
  </si>
  <si>
    <t>32285004846555</t>
  </si>
  <si>
    <t>893706063</t>
  </si>
  <si>
    <t>BV5077.S7 M4 1956</t>
  </si>
  <si>
    <t>0                      BV 5077000S  7                  M  4           1956</t>
  </si>
  <si>
    <t>La mística española / M. Menendez Pelayo ; edicion y estudio preliminar de Pedro Sáinz Rodríguez.</t>
  </si>
  <si>
    <t>Menéndez y Pelayo, Marcelino, 1856-1912.</t>
  </si>
  <si>
    <t>Madrid : A. Aguado, [1956]</t>
  </si>
  <si>
    <t xml:space="preserve">sp </t>
  </si>
  <si>
    <t>Clásicos y maestros</t>
  </si>
  <si>
    <t>2007-02-12</t>
  </si>
  <si>
    <t>2005-03-23</t>
  </si>
  <si>
    <t>365684052:spa</t>
  </si>
  <si>
    <t>904868</t>
  </si>
  <si>
    <t>991004509409702656</t>
  </si>
  <si>
    <t>2263753560002656</t>
  </si>
  <si>
    <t>32285005044416</t>
  </si>
  <si>
    <t>893807152</t>
  </si>
  <si>
    <t>BV5077.S7 P38 1951</t>
  </si>
  <si>
    <t>0                      BV 5077000S  7                  P  38          1951</t>
  </si>
  <si>
    <t>The mystics of Spain / by E. Allison Peers.</t>
  </si>
  <si>
    <t>Peers, E. Allison (Edgar Allison), 1891-1952.</t>
  </si>
  <si>
    <t>London : Allen &amp; Unwin, [1951]</t>
  </si>
  <si>
    <t>Ethical and religious classics of the East and West, no.5</t>
  </si>
  <si>
    <t>2010-11-29</t>
  </si>
  <si>
    <t>5090361110:eng</t>
  </si>
  <si>
    <t>518612</t>
  </si>
  <si>
    <t>991002904069702656</t>
  </si>
  <si>
    <t>2255701460002656</t>
  </si>
  <si>
    <t>32285001015311</t>
  </si>
  <si>
    <t>893227417</t>
  </si>
  <si>
    <t>BV5077.S7 P45 1947</t>
  </si>
  <si>
    <t>0                      BV 5077000S  7                  P  45          1947</t>
  </si>
  <si>
    <t>El misticismo español / E. Allison Peers. [Traducción del inglés por Carlos Clavería.</t>
  </si>
  <si>
    <t>Buenos Aires : Espasa-Calpe Argentina, [1947]</t>
  </si>
  <si>
    <t>2.ed.]</t>
  </si>
  <si>
    <t>Colección Austral ; 671</t>
  </si>
  <si>
    <t>365665622:spa</t>
  </si>
  <si>
    <t>1250131</t>
  </si>
  <si>
    <t>991003647869702656</t>
  </si>
  <si>
    <t>2263159280002656</t>
  </si>
  <si>
    <t>32285001015329</t>
  </si>
  <si>
    <t>893416624</t>
  </si>
  <si>
    <t>BV5077.S7 R8 1946</t>
  </si>
  <si>
    <t>0                      BV 5077000S  7                  R  8           1946</t>
  </si>
  <si>
    <t>The mystic soul of Spain / by David Rubio.</t>
  </si>
  <si>
    <t>Rubio, David, 1884-1962.</t>
  </si>
  <si>
    <t>New York : Cosmopolitan science &amp; art service co., inc., 1946.</t>
  </si>
  <si>
    <t>505393333:eng</t>
  </si>
  <si>
    <t>1243380</t>
  </si>
  <si>
    <t>991003643999702656</t>
  </si>
  <si>
    <t>2261391900002656</t>
  </si>
  <si>
    <t>32285001015337</t>
  </si>
  <si>
    <t>893617555</t>
  </si>
  <si>
    <t>BV5080 .B484 1955</t>
  </si>
  <si>
    <t>0                      BV 5080000B  484         1955</t>
  </si>
  <si>
    <t>A book of spiritual instruction (Institutio spiritualis) / by Ludovicus Blosius. Translated from the Latin by Bertrand A. Wilberforce; edited by a Benedictine of Stanbrook Abbey.</t>
  </si>
  <si>
    <t>Blois, Louis de, 1506-1566.</t>
  </si>
  <si>
    <t>Westminster, Md. : Newman Press, [1955]</t>
  </si>
  <si>
    <t>[Rev. ed.]</t>
  </si>
  <si>
    <t>The Orchard books</t>
  </si>
  <si>
    <t>2003-01-07</t>
  </si>
  <si>
    <t>5992512:eng</t>
  </si>
  <si>
    <t>2696738</t>
  </si>
  <si>
    <t>991004216489702656</t>
  </si>
  <si>
    <t>2265193500002656</t>
  </si>
  <si>
    <t>32285001015360</t>
  </si>
  <si>
    <t>893593422</t>
  </si>
  <si>
    <t>BV5080 .C3 1874</t>
  </si>
  <si>
    <t>0                      BV 5080000C  3           1874</t>
  </si>
  <si>
    <t>L'Abandon a la Providence Divine / ouvrage posthume du P. J.-P. de Caussade ; augmentée de lettres et autres écrits encore inédits du même auteur ; le tout revu, corrigé et mis en ordre par le P. H. Ramière.</t>
  </si>
  <si>
    <t>Paris : Librairie Catholique de Perisse Frères, 1874.</t>
  </si>
  <si>
    <t>1874</t>
  </si>
  <si>
    <t>7 éd.</t>
  </si>
  <si>
    <t>403710:fre</t>
  </si>
  <si>
    <t>3681902</t>
  </si>
  <si>
    <t>991004494109702656</t>
  </si>
  <si>
    <t>2259993940002656</t>
  </si>
  <si>
    <t>32285001015402</t>
  </si>
  <si>
    <t>893417689</t>
  </si>
  <si>
    <t>32285001015410</t>
  </si>
  <si>
    <t>893430122</t>
  </si>
  <si>
    <t>BV5080 .D562 2000</t>
  </si>
  <si>
    <t>0                      BV 5080000D  562         2000</t>
  </si>
  <si>
    <t>Maria Maddalena De' Pazzi / translated and introduced by Armando Maggi ; preface by E. Ann Matter.</t>
  </si>
  <si>
    <t>De' Pazzi, Maria Maddalena, Saint, 1566-1607.</t>
  </si>
  <si>
    <t>Mahwah, N.J. : Paulist Press, c2000.</t>
  </si>
  <si>
    <t>The classics of Western spirituality ; #98</t>
  </si>
  <si>
    <t>2009-06-12</t>
  </si>
  <si>
    <t>2000-08-15</t>
  </si>
  <si>
    <t>34409398:eng</t>
  </si>
  <si>
    <t>43109932</t>
  </si>
  <si>
    <t>991003265639702656</t>
  </si>
  <si>
    <t>2268026590002656</t>
  </si>
  <si>
    <t>9780809105090</t>
  </si>
  <si>
    <t>32285003757712</t>
  </si>
  <si>
    <t>893428617</t>
  </si>
  <si>
    <t>BV5080 .E3213 1980</t>
  </si>
  <si>
    <t>0                      BV 5080000E  3213        1980</t>
  </si>
  <si>
    <t>Breakthrough, Meister Eckhart's creation spirituality, in new translation / introd. and commentaries by Matthew Fox.</t>
  </si>
  <si>
    <t>Eckhart, Meister, -1327.</t>
  </si>
  <si>
    <t>Garden City, N.Y. : Doubleday, 1980.</t>
  </si>
  <si>
    <t>22539618:eng</t>
  </si>
  <si>
    <t>6555678</t>
  </si>
  <si>
    <t>991005004129702656</t>
  </si>
  <si>
    <t>2255036290002656</t>
  </si>
  <si>
    <t>9780385170451</t>
  </si>
  <si>
    <t>32285001015501</t>
  </si>
  <si>
    <t>893719643</t>
  </si>
  <si>
    <t>BV5080 .E3213 1986</t>
  </si>
  <si>
    <t>0                      BV 5080000E  3213        1986</t>
  </si>
  <si>
    <t>Meister Eckhart, teacher and preacher / edited by Bernard McGinn with the collaboration of Frank Tobin and Elvira Borgstadt ; preface by Kenneth Northcott.</t>
  </si>
  <si>
    <t>2010-10-12</t>
  </si>
  <si>
    <t>198347600:eng</t>
  </si>
  <si>
    <t>14165521</t>
  </si>
  <si>
    <t>991000913939702656</t>
  </si>
  <si>
    <t>2270127410002656</t>
  </si>
  <si>
    <t>9780809128273</t>
  </si>
  <si>
    <t>32285003579629</t>
  </si>
  <si>
    <t>893602167</t>
  </si>
  <si>
    <t>BV5080 .R5514 1997</t>
  </si>
  <si>
    <t>0                      BV 5080000R  5514        1997</t>
  </si>
  <si>
    <t>Les douze patriarches, ou, Beniamin minor / Richard de Saint-Victor ; texte critique et translation par Jean Châtillon et Monique Duchet-Suchaux ; introduction, notes, et index par Jean Longère.</t>
  </si>
  <si>
    <t>Richard, of St. Victor, -1173.</t>
  </si>
  <si>
    <t>Paris : Editions du Cerf, 1997.</t>
  </si>
  <si>
    <t>Sources chrétiennes, 0750-1978 ; no 419</t>
  </si>
  <si>
    <t>2010-10-04</t>
  </si>
  <si>
    <t>1082308327:fre</t>
  </si>
  <si>
    <t>37433037</t>
  </si>
  <si>
    <t>991002841269702656</t>
  </si>
  <si>
    <t>2264966010002656</t>
  </si>
  <si>
    <t>9782204056106</t>
  </si>
  <si>
    <t>32285003511630</t>
  </si>
  <si>
    <t>893517824</t>
  </si>
  <si>
    <t>BV5080 .S4813 1994</t>
  </si>
  <si>
    <t>0                      BV 5080000S  4813        1994</t>
  </si>
  <si>
    <t>Wisdom's watch upon the hours / Bl. Henry Suso ; translated by Edmund Colledge.</t>
  </si>
  <si>
    <t>Seuse, Heinrich, 1295-1366.</t>
  </si>
  <si>
    <t>Washington, DC : Catholic University of America Press, c1994.</t>
  </si>
  <si>
    <t>The Fathers of the church. Mediaeval continuation ; v. 4</t>
  </si>
  <si>
    <t>2004-07-20</t>
  </si>
  <si>
    <t>4925896411:eng</t>
  </si>
  <si>
    <t>28674259</t>
  </si>
  <si>
    <t>991004327459702656</t>
  </si>
  <si>
    <t>2269830050002656</t>
  </si>
  <si>
    <t>9780813207926</t>
  </si>
  <si>
    <t>32285004985866</t>
  </si>
  <si>
    <t>893800858</t>
  </si>
  <si>
    <t>BV5080 .S836213 1989</t>
  </si>
  <si>
    <t>0                      BV 5080000S  836213      1989</t>
  </si>
  <si>
    <t>Henry Suso : the Exemplar, with two German sermons / [edited and translated] by Frank Tobin.</t>
  </si>
  <si>
    <t>1059261478:eng</t>
  </si>
  <si>
    <t>19739524</t>
  </si>
  <si>
    <t>991001492739702656</t>
  </si>
  <si>
    <t>2259349780002656</t>
  </si>
  <si>
    <t>9780809129867</t>
  </si>
  <si>
    <t>32285001015675</t>
  </si>
  <si>
    <t>893534568</t>
  </si>
  <si>
    <t>BV5080 .S913 1962</t>
  </si>
  <si>
    <t>0                      BV 5080000S  913         1962</t>
  </si>
  <si>
    <t>The exemplar : life and writings of Blessed Henry Suso, o. p. / Complete ed. based on mss., with a critical introd. and explanatory notes by Nicholas Heller. Tr. from the German by Ann Edward.</t>
  </si>
  <si>
    <t>Dubuque, Iowa : Priory Pr., 1962.</t>
  </si>
  <si>
    <t>2010-09-24</t>
  </si>
  <si>
    <t>1781886267:eng</t>
  </si>
  <si>
    <t>2169787</t>
  </si>
  <si>
    <t>991004035859702656</t>
  </si>
  <si>
    <t>2267078690002656</t>
  </si>
  <si>
    <t>32285001015683</t>
  </si>
  <si>
    <t>893240935</t>
  </si>
  <si>
    <t>32285001015691</t>
  </si>
  <si>
    <t>893247076</t>
  </si>
  <si>
    <t>BV5080.E45 E4 1970</t>
  </si>
  <si>
    <t>0                      BV 5080000E  45                 E  4           1970</t>
  </si>
  <si>
    <t>Meister Eckhart : a modern translation / by Raymond Bernard Blakney.</t>
  </si>
  <si>
    <t>New York : Harper &amp; Row, [1970], c1941.</t>
  </si>
  <si>
    <t>Harper torchbooks ; TB8</t>
  </si>
  <si>
    <t>2010-09-30</t>
  </si>
  <si>
    <t>4095452845:eng</t>
  </si>
  <si>
    <t>27210137</t>
  </si>
  <si>
    <t>991005263019702656</t>
  </si>
  <si>
    <t>2269487930002656</t>
  </si>
  <si>
    <t>32285005456867</t>
  </si>
  <si>
    <t>893520736</t>
  </si>
  <si>
    <t>BV5080.J75 S62 1990</t>
  </si>
  <si>
    <t>0                      BV 5080000J  75                 S  62          1990</t>
  </si>
  <si>
    <t>The Spiritual canticle / Saint John of the Cross ; modern English version with notes [by] John Venard.</t>
  </si>
  <si>
    <t>John of the Cross, Saint, 1542-1591.</t>
  </si>
  <si>
    <t>Newtown, N.S.W. : E. J. Dwyer, 1990.</t>
  </si>
  <si>
    <t xml:space="preserve">at </t>
  </si>
  <si>
    <t>2009-01-15</t>
  </si>
  <si>
    <t>1991-12-19</t>
  </si>
  <si>
    <t>2022089:eng</t>
  </si>
  <si>
    <t>23828622</t>
  </si>
  <si>
    <t>991001889429702656</t>
  </si>
  <si>
    <t>2262906330002656</t>
  </si>
  <si>
    <t>9780855741242</t>
  </si>
  <si>
    <t>32285000861293</t>
  </si>
  <si>
    <t>893703412</t>
  </si>
  <si>
    <t>BV5080.J7755 T48</t>
  </si>
  <si>
    <t>0                      BV 5080000J  7755               T  48</t>
  </si>
  <si>
    <t>The poet and the mystic : a study of the Cántico espiritual of San Juan de la Cruz / by Colin P. Thompson. --</t>
  </si>
  <si>
    <t>Thompson, Colin P.</t>
  </si>
  <si>
    <t>Oxford [Eng.] ; New York : Oxford University Press, 1977.</t>
  </si>
  <si>
    <t>Oxford modern languages and literature monographs</t>
  </si>
  <si>
    <t>2010-10-15</t>
  </si>
  <si>
    <t>840140804:eng</t>
  </si>
  <si>
    <t>3034614</t>
  </si>
  <si>
    <t>991004325549702656</t>
  </si>
  <si>
    <t>2261344930002656</t>
  </si>
  <si>
    <t>9780198155317</t>
  </si>
  <si>
    <t>32285001015576</t>
  </si>
  <si>
    <t>893319072</t>
  </si>
  <si>
    <t>BV5080.J776 B7 1945</t>
  </si>
  <si>
    <t>0                      BV 5080000J  776                B  7           1945</t>
  </si>
  <si>
    <t>Journey in the night : a practical introduction to St. John of the Cross, and, in particular, a companion to the first book of the "Ascent of mt. Carmel" / by the Rev. Father Brice.</t>
  </si>
  <si>
    <t>Brice, Father, 1905-</t>
  </si>
  <si>
    <t>New York ; Cincinnati : Frederick Pustet co., inc., 1945.</t>
  </si>
  <si>
    <t>204033482:eng</t>
  </si>
  <si>
    <t>2551042</t>
  </si>
  <si>
    <t>991004160769702656</t>
  </si>
  <si>
    <t>2255919720002656</t>
  </si>
  <si>
    <t>32285001015584</t>
  </si>
  <si>
    <t>893241089</t>
  </si>
  <si>
    <t>BV5080.J776 B72 1946</t>
  </si>
  <si>
    <t>0                      BV 5080000J  776                B  72          1946</t>
  </si>
  <si>
    <t>Spirit in darkness : a companion to book two of the "Ascent of mt. Carmel" / by the Rev. Fr. Brice.</t>
  </si>
  <si>
    <t>New York ; Cincinnati : Frederick Pustet co., inc., 1946.</t>
  </si>
  <si>
    <t>1376367842:eng</t>
  </si>
  <si>
    <t>2551007</t>
  </si>
  <si>
    <t>991004160739702656</t>
  </si>
  <si>
    <t>2255915260002656</t>
  </si>
  <si>
    <t>32285001015592</t>
  </si>
  <si>
    <t>893882127</t>
  </si>
  <si>
    <t>BV5080.J776 P4 1962</t>
  </si>
  <si>
    <t>0                      BV 5080000J  776                P  4           1962</t>
  </si>
  <si>
    <t>Living flame of love / by Saint John of the Cross. Translated, edited, and with an introd. by E. Allison Peers, from the critical edition of P. Silverio de Santa Teresa.</t>
  </si>
  <si>
    <t>Garden City, N.Y. : Image Books, [1962]</t>
  </si>
  <si>
    <t>A Doubleday image book, D129</t>
  </si>
  <si>
    <t>2005-12-15</t>
  </si>
  <si>
    <t>8913898241:eng</t>
  </si>
  <si>
    <t>893698</t>
  </si>
  <si>
    <t>991003358549702656</t>
  </si>
  <si>
    <t>2259979010002656</t>
  </si>
  <si>
    <t>32285001015600</t>
  </si>
  <si>
    <t>893721920</t>
  </si>
  <si>
    <t>BV5081 .G6 1854</t>
  </si>
  <si>
    <t>0                      BV 5081000G  6           1854</t>
  </si>
  <si>
    <t>La mystique divine, naturelle, et diabolique / par Görres, ouvrage traduit de l'allemand par M. Charles Sainte-Foi.</t>
  </si>
  <si>
    <t>Görres, Joseph von, 1776-1848.</t>
  </si>
  <si>
    <t>Paris : Mme Vve Poussielgue-Rusand, 1854-55.</t>
  </si>
  <si>
    <t>1854</t>
  </si>
  <si>
    <t>1993-08-12</t>
  </si>
  <si>
    <t>29341165:fre</t>
  </si>
  <si>
    <t>2562601</t>
  </si>
  <si>
    <t>991004164519702656</t>
  </si>
  <si>
    <t>2259483250002656</t>
  </si>
  <si>
    <t>32285001015790</t>
  </si>
  <si>
    <t>893229009</t>
  </si>
  <si>
    <t>32285001015774</t>
  </si>
  <si>
    <t>893235136</t>
  </si>
  <si>
    <t>32285001015782</t>
  </si>
  <si>
    <t>893229010</t>
  </si>
  <si>
    <t>32285001015766</t>
  </si>
  <si>
    <t>893253328</t>
  </si>
  <si>
    <t>32285001015758</t>
  </si>
  <si>
    <t>893241095</t>
  </si>
  <si>
    <t>BV5082 .B3 1961</t>
  </si>
  <si>
    <t>0                      BV 5082000B  3           1961</t>
  </si>
  <si>
    <t>Great Western mystics : their lasting significance / by David Baumgardt.</t>
  </si>
  <si>
    <t>Baumgardt, David, 1890-1963.</t>
  </si>
  <si>
    <t>New York, Columbia University Press, 1961.</t>
  </si>
  <si>
    <t>Matchette Foundation lectures ; no. 4</t>
  </si>
  <si>
    <t>2002-04-11</t>
  </si>
  <si>
    <t>1508711:eng</t>
  </si>
  <si>
    <t>385743</t>
  </si>
  <si>
    <t>991002645609702656</t>
  </si>
  <si>
    <t>2258858600002656</t>
  </si>
  <si>
    <t>32285001015816</t>
  </si>
  <si>
    <t>893233221</t>
  </si>
  <si>
    <t>BV5082 .B45 1907</t>
  </si>
  <si>
    <t>0                      BV 5082000B  45          1907</t>
  </si>
  <si>
    <t>Mysticism / by R.H. Benson.</t>
  </si>
  <si>
    <t>Benson, Robert Hugh, 1871-1914.</t>
  </si>
  <si>
    <t>London : Sands ; St. Louis, MO : B. Herder, 1907.</t>
  </si>
  <si>
    <t>1907</t>
  </si>
  <si>
    <t>Westminster lectures, 3d series</t>
  </si>
  <si>
    <t>12009767:eng</t>
  </si>
  <si>
    <t>3763058</t>
  </si>
  <si>
    <t>991004510719702656</t>
  </si>
  <si>
    <t>2255025960002656</t>
  </si>
  <si>
    <t>32285001015824</t>
  </si>
  <si>
    <t>893901308</t>
  </si>
  <si>
    <t>BV5082 .D49 1903</t>
  </si>
  <si>
    <t>0                      BV 5082000D  49          1903</t>
  </si>
  <si>
    <t>A manual of mystical theology : or, The extraordinary graces of the supernatural life explained / by Arthur Devine.</t>
  </si>
  <si>
    <t>Devine, Arthur, 1849-1919.</t>
  </si>
  <si>
    <t>London : R. &amp; T. Washbourne ; New York : Benziger, 1903.</t>
  </si>
  <si>
    <t>1903</t>
  </si>
  <si>
    <t>2000-11-30</t>
  </si>
  <si>
    <t>3901530774:eng</t>
  </si>
  <si>
    <t>3469970</t>
  </si>
  <si>
    <t>991004442479702656</t>
  </si>
  <si>
    <t>2258554690002656</t>
  </si>
  <si>
    <t>32285001015840</t>
  </si>
  <si>
    <t>893229376</t>
  </si>
  <si>
    <t>BV5082 .L591 1917</t>
  </si>
  <si>
    <t>0                      BV 5082000L  591         1917</t>
  </si>
  <si>
    <t>The mystical life / by S. Louismet.</t>
  </si>
  <si>
    <t>Louismet, Dom S. (Dom Savinien), 1858-1926.</t>
  </si>
  <si>
    <t>London : Burns Oates &amp; Washbourne ; New York : P. J. Kenedy, [1917?]</t>
  </si>
  <si>
    <t>1917</t>
  </si>
  <si>
    <t>3d and rev. ed.</t>
  </si>
  <si>
    <t>2002-06-15</t>
  </si>
  <si>
    <t>1649294:eng</t>
  </si>
  <si>
    <t>564822</t>
  </si>
  <si>
    <t>991002996349702656</t>
  </si>
  <si>
    <t>2256802380002656</t>
  </si>
  <si>
    <t>32285001015873</t>
  </si>
  <si>
    <t>893786852</t>
  </si>
  <si>
    <t>BV5082 .M414 1944</t>
  </si>
  <si>
    <t>0                      BV 5082000M  414         1944</t>
  </si>
  <si>
    <t>Un appel à l'amour : le message du coeur de Jésus au monde et sa messagère / Soeur Josefa Menéndez ; introduction du P. H. Monier-Vinard ; conclusion du P. F. Charmot.</t>
  </si>
  <si>
    <t>Menéndez, Josefa, 1890-1923.</t>
  </si>
  <si>
    <t>Toulouse : Éditions de l'Apostolat de la Prière, 1944.</t>
  </si>
  <si>
    <t>1995-06-19</t>
  </si>
  <si>
    <t>4173877:fre</t>
  </si>
  <si>
    <t>4091715</t>
  </si>
  <si>
    <t>991004586469702656</t>
  </si>
  <si>
    <t>2259630280002656</t>
  </si>
  <si>
    <t>32285001015949</t>
  </si>
  <si>
    <t>893253855</t>
  </si>
  <si>
    <t>BV5082 .P4 1957</t>
  </si>
  <si>
    <t>0                      BV 5082000P  4           1957</t>
  </si>
  <si>
    <t>The three degrees : a study of Christian mysticism / Conrad Pepler.</t>
  </si>
  <si>
    <t>St. Louis : Herder, [1957? or 8]</t>
  </si>
  <si>
    <t>376456074:eng</t>
  </si>
  <si>
    <t>1878606</t>
  </si>
  <si>
    <t>991003924109702656</t>
  </si>
  <si>
    <t>2260232400002656</t>
  </si>
  <si>
    <t>32285001015972</t>
  </si>
  <si>
    <t>893423158</t>
  </si>
  <si>
    <t>BV5082 .W5 1921</t>
  </si>
  <si>
    <t>0                      BV 5082000W  5           1921</t>
  </si>
  <si>
    <t>Supernatural mysticism / by Benedict Williamson ; with an introduction by Cardinal Bourne ; and a foreword on the call to contemplation by The Lord Bishop of Plymouth.</t>
  </si>
  <si>
    <t>Williamson, Benedict, 1868-1948.</t>
  </si>
  <si>
    <t>London : Kegan Paul, Trench, Trubner ; St. Louis : Herder, 1921.</t>
  </si>
  <si>
    <t>1921</t>
  </si>
  <si>
    <t>2001-04-18</t>
  </si>
  <si>
    <t>2617737:eng</t>
  </si>
  <si>
    <t>10399933</t>
  </si>
  <si>
    <t>991000365149702656</t>
  </si>
  <si>
    <t>2257760550002656</t>
  </si>
  <si>
    <t>32285001016038</t>
  </si>
  <si>
    <t>893224924</t>
  </si>
  <si>
    <t>BV5082.2 .C313 1962</t>
  </si>
  <si>
    <t>0                      BV 5082200C  313         1962</t>
  </si>
  <si>
    <t>The mystery of Christian worship : and other writings / Odo Casel. Edited by Burkhard Neunheuser; with a pref. by Charles Davis.</t>
  </si>
  <si>
    <t>Casel, Odo, 1886-1948.</t>
  </si>
  <si>
    <t>Westminster, Md. : Newman Press, [1962]</t>
  </si>
  <si>
    <t>5090755866:eng</t>
  </si>
  <si>
    <t>192621</t>
  </si>
  <si>
    <t>991001208109702656</t>
  </si>
  <si>
    <t>2256356480002656</t>
  </si>
  <si>
    <t>32285001016061</t>
  </si>
  <si>
    <t>893496909</t>
  </si>
  <si>
    <t>BV5082.2 .G73 1997</t>
  </si>
  <si>
    <t>0                      BV 5082200G  73          1997</t>
  </si>
  <si>
    <t>Prophecy and mysticism : the heart of the postmodern church / Mary C. Grey.</t>
  </si>
  <si>
    <t>Edinburgh : T&amp;T Clark, 1997.</t>
  </si>
  <si>
    <t>Scottish journal of theology. Current issues in theology</t>
  </si>
  <si>
    <t>2006-03-25</t>
  </si>
  <si>
    <t>1998-07-30</t>
  </si>
  <si>
    <t>837046536:eng</t>
  </si>
  <si>
    <t>38332422</t>
  </si>
  <si>
    <t>991002905429702656</t>
  </si>
  <si>
    <t>2271778950002656</t>
  </si>
  <si>
    <t>9780567085870</t>
  </si>
  <si>
    <t>32285003447892</t>
  </si>
  <si>
    <t>893874162</t>
  </si>
  <si>
    <t>BV5082.2 .G74 1991</t>
  </si>
  <si>
    <t>0                      BV 5082200G  74          1991</t>
  </si>
  <si>
    <t>Heightened consciousness : the mystical difference / by David Granfield.</t>
  </si>
  <si>
    <t>Granfield, David.</t>
  </si>
  <si>
    <t>New York : Paulist Press, c1991.</t>
  </si>
  <si>
    <t>1996-03-25</t>
  </si>
  <si>
    <t>9542543475:eng</t>
  </si>
  <si>
    <t>22887966</t>
  </si>
  <si>
    <t>991001820109702656</t>
  </si>
  <si>
    <t>2268712560002656</t>
  </si>
  <si>
    <t>9780809131747</t>
  </si>
  <si>
    <t>32285001037596</t>
  </si>
  <si>
    <t>893779106</t>
  </si>
  <si>
    <t>BV5082.2 .N65 1975</t>
  </si>
  <si>
    <t>0                      BV 5082200N  65          1975</t>
  </si>
  <si>
    <t>What a modern Catholic believes about mysticism / by Robert Nowell.</t>
  </si>
  <si>
    <t>Nowell, Robert.</t>
  </si>
  <si>
    <t>Chicago, Ill. : Thomas More, [c1975]</t>
  </si>
  <si>
    <t>2001-08-01</t>
  </si>
  <si>
    <t>9542533768:eng</t>
  </si>
  <si>
    <t>1847982</t>
  </si>
  <si>
    <t>991003908779702656</t>
  </si>
  <si>
    <t>2261410550002656</t>
  </si>
  <si>
    <t>32285000637008</t>
  </si>
  <si>
    <t>893435648</t>
  </si>
  <si>
    <t>BV5082.2 .O25 1964</t>
  </si>
  <si>
    <t>0                      BV 5082200O  25          1964</t>
  </si>
  <si>
    <t>Varieties of mystic experience : an anthology and interpretation / Elmer O'Brien.</t>
  </si>
  <si>
    <t>O'Brien, Elmer J.</t>
  </si>
  <si>
    <t>New York : Holt, Rinehart and Winston, [1964]</t>
  </si>
  <si>
    <t>2001-10-23</t>
  </si>
  <si>
    <t>1503422:eng</t>
  </si>
  <si>
    <t>384292</t>
  </si>
  <si>
    <t>991002640819702656</t>
  </si>
  <si>
    <t>2256316920002656</t>
  </si>
  <si>
    <t>32285001016145</t>
  </si>
  <si>
    <t>893257527</t>
  </si>
  <si>
    <t>BV5082.2 .S64</t>
  </si>
  <si>
    <t>0                      BV 5082200S  64</t>
  </si>
  <si>
    <t>Love beyond pain : mysticism within Christianity / by Frederick Sontag.</t>
  </si>
  <si>
    <t>Sontag, Frederick.</t>
  </si>
  <si>
    <t>1996-09-23</t>
  </si>
  <si>
    <t>367031762:eng</t>
  </si>
  <si>
    <t>2778267</t>
  </si>
  <si>
    <t>991004238409702656</t>
  </si>
  <si>
    <t>2272140360002656</t>
  </si>
  <si>
    <t>9780809119981</t>
  </si>
  <si>
    <t>32285001016178</t>
  </si>
  <si>
    <t>893612114</t>
  </si>
  <si>
    <t>BV5082.2 .Y86</t>
  </si>
  <si>
    <t>0                      BV 5082200Y  86</t>
  </si>
  <si>
    <t>Discovering God within / John R. Yungblut.</t>
  </si>
  <si>
    <t>Philadelphia : Westminster Press, c1979.</t>
  </si>
  <si>
    <t>1996-09-21</t>
  </si>
  <si>
    <t>14765634:eng</t>
  </si>
  <si>
    <t>4493651</t>
  </si>
  <si>
    <t>991004650239702656</t>
  </si>
  <si>
    <t>2260907490002656</t>
  </si>
  <si>
    <t>9780664242312</t>
  </si>
  <si>
    <t>32285001016186</t>
  </si>
  <si>
    <t>893344089</t>
  </si>
  <si>
    <t>BV5082.3 .S7613 2001</t>
  </si>
  <si>
    <t>0                      BV 5082300S  7613        2001</t>
  </si>
  <si>
    <t>The doctrine of spiritual perfection / Anselm Stolz ; translated by Aidan Williams ; introduction by Stephen Fields.</t>
  </si>
  <si>
    <t>Stolz, Anselm, 1900-1942.</t>
  </si>
  <si>
    <t>Milestones in the study of mysticism and spirituality</t>
  </si>
  <si>
    <t>2006-10-23</t>
  </si>
  <si>
    <t>8908361397:eng</t>
  </si>
  <si>
    <t>47752049</t>
  </si>
  <si>
    <t>991004951269702656</t>
  </si>
  <si>
    <t>2263115970002656</t>
  </si>
  <si>
    <t>9780824518875</t>
  </si>
  <si>
    <t>32285005231526</t>
  </si>
  <si>
    <t>893694544</t>
  </si>
  <si>
    <t>BV5083 .K44 1978</t>
  </si>
  <si>
    <t>0                      BV 5083000K  44          1978</t>
  </si>
  <si>
    <t>Discernment : a study in ecstasy and evil / by Morton Kelsey.</t>
  </si>
  <si>
    <t>2009-07-19</t>
  </si>
  <si>
    <t>892267173:eng</t>
  </si>
  <si>
    <t>4379572</t>
  </si>
  <si>
    <t>991004632129702656</t>
  </si>
  <si>
    <t>2265990420002656</t>
  </si>
  <si>
    <t>9780809121571</t>
  </si>
  <si>
    <t>32285000236843</t>
  </si>
  <si>
    <t>893350223</t>
  </si>
  <si>
    <t>BV5083 .L4 1972</t>
  </si>
  <si>
    <t>0                      BV 5083000L  4           1972</t>
  </si>
  <si>
    <t>The psychology of religious mysticism / James H. Leuba.</t>
  </si>
  <si>
    <t>Leuba, James H. (James Henry), 1868-1946.</t>
  </si>
  <si>
    <t>London, Boston, Routledge and K. Paul, 1972.</t>
  </si>
  <si>
    <t>Revised ed.</t>
  </si>
  <si>
    <t>International library of psychology, philosophy, and scientific method</t>
  </si>
  <si>
    <t>60191:eng</t>
  </si>
  <si>
    <t>2736001</t>
  </si>
  <si>
    <t>991004227459702656</t>
  </si>
  <si>
    <t>2257752110002656</t>
  </si>
  <si>
    <t>9780710073174</t>
  </si>
  <si>
    <t>32285001016194</t>
  </si>
  <si>
    <t>893894725</t>
  </si>
  <si>
    <t>BV5083 .M66 1997</t>
  </si>
  <si>
    <t>0                      BV 5083000M  66          1997</t>
  </si>
  <si>
    <t>Discerning God's will together : a spiritual practice for the church / Danny E. Morris and Charles M. Olsen.</t>
  </si>
  <si>
    <t>Morris, Danny E.</t>
  </si>
  <si>
    <t>Nashville : Upper Room Books, c1997.</t>
  </si>
  <si>
    <t>2003-12-08</t>
  </si>
  <si>
    <t>2001-01-16</t>
  </si>
  <si>
    <t>820238365:eng</t>
  </si>
  <si>
    <t>35521708</t>
  </si>
  <si>
    <t>991003363959702656</t>
  </si>
  <si>
    <t>2257156490002656</t>
  </si>
  <si>
    <t>9780835808088</t>
  </si>
  <si>
    <t>32285004283916</t>
  </si>
  <si>
    <t>893434938</t>
  </si>
  <si>
    <t>BV5083 .P76 1983</t>
  </si>
  <si>
    <t>0                      BV 5083000P  76          1983</t>
  </si>
  <si>
    <t>Homo spiritualis nititur fide : Martin Luther and Ignatius of Loyola : an analytical and comparative study of a hermeneutic based on the heuristic structure of discretio / Michael Proterra.</t>
  </si>
  <si>
    <t>Proterra, Michael.</t>
  </si>
  <si>
    <t>Washington, D.C. : University Press of America, c1983.</t>
  </si>
  <si>
    <t>2003-11-22</t>
  </si>
  <si>
    <t>1992-08-13</t>
  </si>
  <si>
    <t>254225021:eng</t>
  </si>
  <si>
    <t>9066789</t>
  </si>
  <si>
    <t>991000121229702656</t>
  </si>
  <si>
    <t>2269858680002656</t>
  </si>
  <si>
    <t>9780819129390</t>
  </si>
  <si>
    <t>32285001245645</t>
  </si>
  <si>
    <t>893237084</t>
  </si>
  <si>
    <t>BV5083 .S56 1997</t>
  </si>
  <si>
    <t>0                      BV 5083000S  56          1997</t>
  </si>
  <si>
    <t>From image to likeness : the Christian journey into God / William A. Simpson.</t>
  </si>
  <si>
    <t>Simpson, William A., 1962-</t>
  </si>
  <si>
    <t>New York : Continuum, 1997.</t>
  </si>
  <si>
    <t>1999-07-19</t>
  </si>
  <si>
    <t>40599730:eng</t>
  </si>
  <si>
    <t>35865471</t>
  </si>
  <si>
    <t>991002733999702656</t>
  </si>
  <si>
    <t>2262897380002656</t>
  </si>
  <si>
    <t>9780826410160</t>
  </si>
  <si>
    <t>32285002478898</t>
  </si>
  <si>
    <t>893523983</t>
  </si>
  <si>
    <t>BV5083 .S7 1928</t>
  </si>
  <si>
    <t>0                      BV 5083000S  7           1928</t>
  </si>
  <si>
    <t>Catholic mysticism : popular lectures / by A.J. Francis Stanton.</t>
  </si>
  <si>
    <t>Stanton, A. J. Francis.</t>
  </si>
  <si>
    <t>London : Sands &amp; Co. ; St. Louis : Herder, [1929?]</t>
  </si>
  <si>
    <t>2002-02-05</t>
  </si>
  <si>
    <t>377056066:eng</t>
  </si>
  <si>
    <t>1267810</t>
  </si>
  <si>
    <t>991003660259702656</t>
  </si>
  <si>
    <t>2258259420002656</t>
  </si>
  <si>
    <t>32285001074607</t>
  </si>
  <si>
    <t>893410516</t>
  </si>
  <si>
    <t>BV5090 .F3 1926</t>
  </si>
  <si>
    <t>0                      BV 5090000F  3           1926</t>
  </si>
  <si>
    <t>Mystical phenomena compared with their human and diabolical counterfeits : a treatise on mystical theology in agreement with the principles of St. Teresa set forth by the Carmelite congress of 1923 at Madrid / by Mgr. Albert Farges. Translated from the 2d French ed. by S. P. Jacques.</t>
  </si>
  <si>
    <t>New York : Benziger, 1926, c1925.</t>
  </si>
  <si>
    <t>1926</t>
  </si>
  <si>
    <t>1994-09-09</t>
  </si>
  <si>
    <t>1992-03-19</t>
  </si>
  <si>
    <t>3901240341:eng</t>
  </si>
  <si>
    <t>3393126</t>
  </si>
  <si>
    <t>991004423579702656</t>
  </si>
  <si>
    <t>2272254230002656</t>
  </si>
  <si>
    <t>32285001016210</t>
  </si>
  <si>
    <t>893532378</t>
  </si>
  <si>
    <t>BV5091 .M35 1986</t>
  </si>
  <si>
    <t>0                      BV 5091000M  35          1986</t>
  </si>
  <si>
    <t>Who do you say you are? / George A. Maloney.</t>
  </si>
  <si>
    <t>Hauppauge, N.Y. : Living Flame Press, c1986.</t>
  </si>
  <si>
    <t>1992-10-28</t>
  </si>
  <si>
    <t>12773040:eng</t>
  </si>
  <si>
    <t>16395907</t>
  </si>
  <si>
    <t>991001104569702656</t>
  </si>
  <si>
    <t>2261895290002656</t>
  </si>
  <si>
    <t>9780914544647</t>
  </si>
  <si>
    <t>32285000262047</t>
  </si>
  <si>
    <t>893803348</t>
  </si>
  <si>
    <t>BV5091.C7 C37 1972</t>
  </si>
  <si>
    <t>0                      BV 5091000C  7                  C  37          1972</t>
  </si>
  <si>
    <t>Contemplation : liberating the ghost of the Church: churching the ghost of liberation / James Carroll.</t>
  </si>
  <si>
    <t>New York : Paulist Press, [1972]</t>
  </si>
  <si>
    <t>Paulist Press Deus book</t>
  </si>
  <si>
    <t>1448658:eng</t>
  </si>
  <si>
    <t>334434</t>
  </si>
  <si>
    <t>991002395279702656</t>
  </si>
  <si>
    <t>2257401000002656</t>
  </si>
  <si>
    <t>32285000636992</t>
  </si>
  <si>
    <t>893415148</t>
  </si>
  <si>
    <t>BV5091.C7 C373 1989</t>
  </si>
  <si>
    <t>0                      BV 5091000C  7                  C  373         1989</t>
  </si>
  <si>
    <t>Towards God : the Western tradition of contemplation / Michael Casey.</t>
  </si>
  <si>
    <t>Casey, Michael, 1942-</t>
  </si>
  <si>
    <t>Melbourne : Collins Dove, 1989.</t>
  </si>
  <si>
    <t>2007-06-20</t>
  </si>
  <si>
    <t>30962522:eng</t>
  </si>
  <si>
    <t>29007969</t>
  </si>
  <si>
    <t>991004203869702656</t>
  </si>
  <si>
    <t>2270021220002656</t>
  </si>
  <si>
    <t>9780859247160</t>
  </si>
  <si>
    <t>32285004846522</t>
  </si>
  <si>
    <t>893618378</t>
  </si>
  <si>
    <t>BV5091.C7 C43 1995</t>
  </si>
  <si>
    <t>0                      BV 5091000C  7                  C  43          1995</t>
  </si>
  <si>
    <t>Angelic wisdom : the cherubim and the grace of contemplation in Richard of St. Victor / Steven Chase.</t>
  </si>
  <si>
    <t>Chase, Steven.</t>
  </si>
  <si>
    <t>Notre Dame : University of Notre Dame Press, c1995.</t>
  </si>
  <si>
    <t>Studies in spirituality and theology ; 2</t>
  </si>
  <si>
    <t>33631494:eng</t>
  </si>
  <si>
    <t>31755360</t>
  </si>
  <si>
    <t>991002437069702656</t>
  </si>
  <si>
    <t>2271224670002656</t>
  </si>
  <si>
    <t>9780268006440</t>
  </si>
  <si>
    <t>32285003274254</t>
  </si>
  <si>
    <t>893409097</t>
  </si>
  <si>
    <t>BV5091.C7 D86 1993</t>
  </si>
  <si>
    <t>0                      BV 5091000C  7                  D  86          1993</t>
  </si>
  <si>
    <t>Love's mind : an essay on contemplative life / John S. Dunne.</t>
  </si>
  <si>
    <t>Notre Dame : University of Notre Dame Press, c1993.</t>
  </si>
  <si>
    <t>1993-12-14</t>
  </si>
  <si>
    <t>30837153:eng</t>
  </si>
  <si>
    <t>28149059</t>
  </si>
  <si>
    <t>991002186909702656</t>
  </si>
  <si>
    <t>2271387850002656</t>
  </si>
  <si>
    <t>9780268013035</t>
  </si>
  <si>
    <t>32285001803310</t>
  </si>
  <si>
    <t>893445011</t>
  </si>
  <si>
    <t>BV5091.C7 F37 1986</t>
  </si>
  <si>
    <t>0                      BV 5091000C  7                  F  37          1986</t>
  </si>
  <si>
    <t>Contemplating Jesus / Robert Faricy and Robert J. Wicks.</t>
  </si>
  <si>
    <t>2000-07-03</t>
  </si>
  <si>
    <t>3372274207:eng</t>
  </si>
  <si>
    <t>13741031</t>
  </si>
  <si>
    <t>991000865499702656</t>
  </si>
  <si>
    <t>2268680270002656</t>
  </si>
  <si>
    <t>9780809127573</t>
  </si>
  <si>
    <t>32285001016269</t>
  </si>
  <si>
    <t>893897287</t>
  </si>
  <si>
    <t>BV5091.C7 F57 2000</t>
  </si>
  <si>
    <t>0                      BV 5091000C  7                  F  57          2000</t>
  </si>
  <si>
    <t>The contemplative heart / James Finley.</t>
  </si>
  <si>
    <t>2006-06-29</t>
  </si>
  <si>
    <t>45116319:eng</t>
  </si>
  <si>
    <t>43539385</t>
  </si>
  <si>
    <t>991003576469702656</t>
  </si>
  <si>
    <t>2268246810002656</t>
  </si>
  <si>
    <t>9781893732100</t>
  </si>
  <si>
    <t>32285004698048</t>
  </si>
  <si>
    <t>893342708</t>
  </si>
  <si>
    <t>BV5091.C7 K4 1997</t>
  </si>
  <si>
    <t>0                      BV 5091000C  7                  K  4           1997</t>
  </si>
  <si>
    <t>Active meditations for contemplative prayer / Thomas Keating.</t>
  </si>
  <si>
    <t>2008-11-12</t>
  </si>
  <si>
    <t>1997-12-11</t>
  </si>
  <si>
    <t>629568:eng</t>
  </si>
  <si>
    <t>37527740</t>
  </si>
  <si>
    <t>991002848039702656</t>
  </si>
  <si>
    <t>2265052590002656</t>
  </si>
  <si>
    <t>9780826410610</t>
  </si>
  <si>
    <t>32285003282844</t>
  </si>
  <si>
    <t>893440591</t>
  </si>
  <si>
    <t>BV5091.C7 M27 1988</t>
  </si>
  <si>
    <t>0                      BV 5091000C  7                  M  27          1988</t>
  </si>
  <si>
    <t>The heart of creation : the meditative way / John Main ; introduction by Laurence Freeman.</t>
  </si>
  <si>
    <t>New York : Crossroad, 1989, c1988.</t>
  </si>
  <si>
    <t>1863175998:eng</t>
  </si>
  <si>
    <t>19627501</t>
  </si>
  <si>
    <t>991001482189702656</t>
  </si>
  <si>
    <t>2266277760002656</t>
  </si>
  <si>
    <t>9780824509576</t>
  </si>
  <si>
    <t>32285001016285</t>
  </si>
  <si>
    <t>893256275</t>
  </si>
  <si>
    <t>BV5091.C7 M313 1960</t>
  </si>
  <si>
    <t>0                      BV 5091000C  7                  M  313         1960</t>
  </si>
  <si>
    <t>Liturgy and contemplation / Jacques and Raïssa Maritain ; translated from the French by Joseph W. Evans.</t>
  </si>
  <si>
    <t>Maritain, Jacques, 1882-1973.</t>
  </si>
  <si>
    <t>New York : P.J. Kenedy, [1960]</t>
  </si>
  <si>
    <t>2006-12-18</t>
  </si>
  <si>
    <t>2908847177:eng</t>
  </si>
  <si>
    <t>384297</t>
  </si>
  <si>
    <t>991002640839702656</t>
  </si>
  <si>
    <t>2256319270002656</t>
  </si>
  <si>
    <t>32285001016301</t>
  </si>
  <si>
    <t>893421619</t>
  </si>
  <si>
    <t>BV5091.C7 M35</t>
  </si>
  <si>
    <t>0                      BV 5091000C  7                  M  35</t>
  </si>
  <si>
    <t>Jesus, set me free: inner freedom through contemplation / by George A. Maloney, S.J. --</t>
  </si>
  <si>
    <t>Denville, New Jersey : Dimension Books, 1977.</t>
  </si>
  <si>
    <t>2005-09-30</t>
  </si>
  <si>
    <t>11940708:eng</t>
  </si>
  <si>
    <t>3712049</t>
  </si>
  <si>
    <t>991004500239702656</t>
  </si>
  <si>
    <t>2263078320002656</t>
  </si>
  <si>
    <t>32285001016319</t>
  </si>
  <si>
    <t>893895064</t>
  </si>
  <si>
    <t>BV5091.C7 M57 1981</t>
  </si>
  <si>
    <t>0                      BV 5091000C  7                  M  57          1981</t>
  </si>
  <si>
    <t>A Mirror for simple souls / by an anonymous thirteenth-century French mystic ; [edited, translated, and adapted by Charles Crawford].</t>
  </si>
  <si>
    <t>1999-05-22</t>
  </si>
  <si>
    <t>1909197003:eng</t>
  </si>
  <si>
    <t>8224537</t>
  </si>
  <si>
    <t>991005221439702656</t>
  </si>
  <si>
    <t>2270198230002656</t>
  </si>
  <si>
    <t>9780824500832</t>
  </si>
  <si>
    <t>32285001016350</t>
  </si>
  <si>
    <t>893613327</t>
  </si>
  <si>
    <t>BV5091.C7 N46 1982</t>
  </si>
  <si>
    <t>0                      BV 5091000C  7                  N  46          1982</t>
  </si>
  <si>
    <t>Contemplation / by Francis Kelly Nemeck and Marie Theresa Coombs.</t>
  </si>
  <si>
    <t>Nemeck, Francis Kelly, 1936-2014.</t>
  </si>
  <si>
    <t>Wilmington, Del. : M. Glazier, 1982.</t>
  </si>
  <si>
    <t>Ways of prayer ; v. 5</t>
  </si>
  <si>
    <t>3768830537:eng</t>
  </si>
  <si>
    <t>9356416</t>
  </si>
  <si>
    <t>991000177109702656</t>
  </si>
  <si>
    <t>2261667650002656</t>
  </si>
  <si>
    <t>9780894532832</t>
  </si>
  <si>
    <t>32285001016368</t>
  </si>
  <si>
    <t>893695649</t>
  </si>
  <si>
    <t>BV5091.C7 R313 1974</t>
  </si>
  <si>
    <t>0                      BV 5091000C  7                  R  313         1974</t>
  </si>
  <si>
    <t>Paths to contemplation / by Yves Raguin ; translated by Paul Barrett.</t>
  </si>
  <si>
    <t>Religious experience series ; v. 6</t>
  </si>
  <si>
    <t>2004-06-25</t>
  </si>
  <si>
    <t>9177556275:eng</t>
  </si>
  <si>
    <t>1120037</t>
  </si>
  <si>
    <t>991003552069702656</t>
  </si>
  <si>
    <t>2266522290002656</t>
  </si>
  <si>
    <t>9780870290329</t>
  </si>
  <si>
    <t>32285001016392</t>
  </si>
  <si>
    <t>893592617</t>
  </si>
  <si>
    <t>BV5091.C7 S55 1975b</t>
  </si>
  <si>
    <t>0                      BV 5091000C  7                  S  55          1975b</t>
  </si>
  <si>
    <t>Exploration into contemplative prayer / Herbert Slade.</t>
  </si>
  <si>
    <t>Slade, Herbert Edwin William.</t>
  </si>
  <si>
    <t>1995-01-06</t>
  </si>
  <si>
    <t>2649723:eng</t>
  </si>
  <si>
    <t>2093846</t>
  </si>
  <si>
    <t>991004012219702656</t>
  </si>
  <si>
    <t>2270827880002656</t>
  </si>
  <si>
    <t>9780809119042</t>
  </si>
  <si>
    <t>32285001016434</t>
  </si>
  <si>
    <t>893259208</t>
  </si>
  <si>
    <t>BV5091.C7 S64 1997</t>
  </si>
  <si>
    <t>0                      BV 5091000C  7                  S  64          1997</t>
  </si>
  <si>
    <t>The mystical sense of the Gospels : a handbook for contemplatives / James M. Somerville.</t>
  </si>
  <si>
    <t>Somerville, James M.</t>
  </si>
  <si>
    <t>New York : Crossroad Pub. Co., 1997.</t>
  </si>
  <si>
    <t>2001-08-30</t>
  </si>
  <si>
    <t>1998-08-18</t>
  </si>
  <si>
    <t>4732302826:eng</t>
  </si>
  <si>
    <t>37353830</t>
  </si>
  <si>
    <t>991002836019702656</t>
  </si>
  <si>
    <t>2260545020002656</t>
  </si>
  <si>
    <t>9780824517106</t>
  </si>
  <si>
    <t>32285003453734</t>
  </si>
  <si>
    <t>893251678</t>
  </si>
  <si>
    <t>BV5091.R4 V63 1963</t>
  </si>
  <si>
    <t>0                      BV 5091000R  4                  V  63          1963</t>
  </si>
  <si>
    <t>Visions, revelations and the church / by Laurent Volken. Translated by Edward Gallagher.</t>
  </si>
  <si>
    <t>Volken, Laurenz.</t>
  </si>
  <si>
    <t>New York : P.J. Kenedy, [1963]</t>
  </si>
  <si>
    <t>2001-03-21</t>
  </si>
  <si>
    <t>9167624297:eng</t>
  </si>
  <si>
    <t>1738032</t>
  </si>
  <si>
    <t>991003886259702656</t>
  </si>
  <si>
    <t>2271288740002656</t>
  </si>
  <si>
    <t>32285001016459</t>
  </si>
  <si>
    <t>893337089</t>
  </si>
  <si>
    <t>BV5091.V6 E67 2000</t>
  </si>
  <si>
    <t>0                      BV 5091000V  6                  E  67          2000</t>
  </si>
  <si>
    <t>Visions : the soul's path to the sacred / Eddie Ensley.</t>
  </si>
  <si>
    <t>Ensley, Eddie.</t>
  </si>
  <si>
    <t>45108197:eng</t>
  </si>
  <si>
    <t>43370491</t>
  </si>
  <si>
    <t>991003576359702656</t>
  </si>
  <si>
    <t>2261928410002656</t>
  </si>
  <si>
    <t>9780829414271</t>
  </si>
  <si>
    <t>32285004378419</t>
  </si>
  <si>
    <t>893441445</t>
  </si>
  <si>
    <t>BV5091.V6 G33 1950</t>
  </si>
  <si>
    <t>0                      BV 5091000V  6                  G  33          1950</t>
  </si>
  <si>
    <t>Visions and revelations in the spiritual life / by Father Gabriel of St. Mary Magdalen. Translated by a Benedictine of Stanbrook Abbey.</t>
  </si>
  <si>
    <t>Gabriele di Santa Maria Maddalena, Father.</t>
  </si>
  <si>
    <t>Westminster, Md. : Newman Press, 1950.</t>
  </si>
  <si>
    <t>1990-08-02</t>
  </si>
  <si>
    <t>2161627:eng</t>
  </si>
  <si>
    <t>1250307</t>
  </si>
  <si>
    <t>991003647959702656</t>
  </si>
  <si>
    <t>2263226310002656</t>
  </si>
  <si>
    <t>32285000263557</t>
  </si>
  <si>
    <t>893806033</t>
  </si>
  <si>
    <t>BV5095.A1 H55 1967</t>
  </si>
  <si>
    <t>0                      BV 5095000A  1                  H  55          1967</t>
  </si>
  <si>
    <t>Three 14th century English mystics / by Phyllis Hodgson.</t>
  </si>
  <si>
    <t>Hodgson, Phyllis.</t>
  </si>
  <si>
    <t>London, published for the British Council and the National Book League by Longmans, 1967.</t>
  </si>
  <si>
    <t>Bibliographical series of supplements to British book news on writers and their work ; no. 196</t>
  </si>
  <si>
    <t>1308966:eng</t>
  </si>
  <si>
    <t>175604</t>
  </si>
  <si>
    <t>991001034939702656</t>
  </si>
  <si>
    <t>2265178490002656</t>
  </si>
  <si>
    <t>32285001016475</t>
  </si>
  <si>
    <t>893327817</t>
  </si>
  <si>
    <t>BV5095.E2 A3 1993</t>
  </si>
  <si>
    <t>0                      BV 5095000E  2                  A  3           1993</t>
  </si>
  <si>
    <t>Margaret Ebner, major works / translated and edited by Leonard P. Hindsley ; introduced by Margot Schmidt and Leonard P. Hindsley ; preface by Richard Woods.</t>
  </si>
  <si>
    <t>Ebner, Margaret, approximately 1291-1351.</t>
  </si>
  <si>
    <t>1997-06-10</t>
  </si>
  <si>
    <t>1993-07-20</t>
  </si>
  <si>
    <t>353056:eng</t>
  </si>
  <si>
    <t>27267028</t>
  </si>
  <si>
    <t>991002130269702656</t>
  </si>
  <si>
    <t>2269043700002656</t>
  </si>
  <si>
    <t>9780809104628</t>
  </si>
  <si>
    <t>32285001738714</t>
  </si>
  <si>
    <t>893804246</t>
  </si>
  <si>
    <t>BV5095.E3 K44 1977</t>
  </si>
  <si>
    <t>0                      BV 5095000E  3                  K  44          1977</t>
  </si>
  <si>
    <t>Meister Eckhart on divine knowledge / C. F. Kelley.</t>
  </si>
  <si>
    <t>Kelley, C. F. (Carl Franklin), 1914-</t>
  </si>
  <si>
    <t>New Haven : Yale University Press, 1977.</t>
  </si>
  <si>
    <t>2010-11-13</t>
  </si>
  <si>
    <t>6417624:eng</t>
  </si>
  <si>
    <t>2875685</t>
  </si>
  <si>
    <t>991004270749702656</t>
  </si>
  <si>
    <t>2259674500002656</t>
  </si>
  <si>
    <t>9780300020984</t>
  </si>
  <si>
    <t>32285001016509</t>
  </si>
  <si>
    <t>893693732</t>
  </si>
  <si>
    <t>BV5095.J3 S3 1910</t>
  </si>
  <si>
    <t>0                      BV 5095000J  3                  S  3           1910</t>
  </si>
  <si>
    <t>A mediæval mystic : a short account of the life and writings of Blessed John Ruysbroeck, Canon Regular of Groenendael, A. D. 1293-1381 / by Dom Vincent Scully.</t>
  </si>
  <si>
    <t>Scully, Vincent.</t>
  </si>
  <si>
    <t>London : T. Baker, 1910.</t>
  </si>
  <si>
    <t>1910</t>
  </si>
  <si>
    <t>1993-09-03</t>
  </si>
  <si>
    <t>423163372:eng</t>
  </si>
  <si>
    <t>2519236</t>
  </si>
  <si>
    <t>991004148549702656</t>
  </si>
  <si>
    <t>2255457700002656</t>
  </si>
  <si>
    <t>32285001016558</t>
  </si>
  <si>
    <t>893800645</t>
  </si>
  <si>
    <t>BV5095.J3 U53 1915</t>
  </si>
  <si>
    <t>0                      BV 5095000J  3                  U  53          1915</t>
  </si>
  <si>
    <t>Ruysbroeck / by Evelyn Underhill.</t>
  </si>
  <si>
    <t>London : G. Bell, 1915.</t>
  </si>
  <si>
    <t>The Quest series</t>
  </si>
  <si>
    <t>1993-05-12</t>
  </si>
  <si>
    <t>2090166:eng</t>
  </si>
  <si>
    <t>1205495</t>
  </si>
  <si>
    <t>991003618689702656</t>
  </si>
  <si>
    <t>2272194210002656</t>
  </si>
  <si>
    <t>32285001016566</t>
  </si>
  <si>
    <t>893416579</t>
  </si>
  <si>
    <t>BV5095.J3 V36 2003</t>
  </si>
  <si>
    <t>0                      BV 5095000J  3                  V  36          2003</t>
  </si>
  <si>
    <t>Jan van Ruusbroec, mystical theologian of the Trinity / Rik Van Nieuwenhove.</t>
  </si>
  <si>
    <t>Van Nieuwenhove, Rik, 1967-</t>
  </si>
  <si>
    <t>Notre Dame, Ind. : University of Notre Dame Press, c2003.</t>
  </si>
  <si>
    <t>Studies in spirituality and theology</t>
  </si>
  <si>
    <t>2005-01-13</t>
  </si>
  <si>
    <t>669324:eng</t>
  </si>
  <si>
    <t>50774320</t>
  </si>
  <si>
    <t>991004432049702656</t>
  </si>
  <si>
    <t>2263642520002656</t>
  </si>
  <si>
    <t>9780268032616</t>
  </si>
  <si>
    <t>32285005020325</t>
  </si>
  <si>
    <t>893446211</t>
  </si>
  <si>
    <t>BV5095.J3 V4213 1994</t>
  </si>
  <si>
    <t>0                      BV 5095000J  3                  V  4213        1994</t>
  </si>
  <si>
    <t>Ruusbroec and his mysticism / Paul Verdeyen ; translated by André Lefevere.</t>
  </si>
  <si>
    <t>Verdeyen, Paul.</t>
  </si>
  <si>
    <t>Collegeville, Minn. : Liturgical Press, c1994.</t>
  </si>
  <si>
    <t>The way of the Christian mystics ; 11</t>
  </si>
  <si>
    <t>1998-02-23</t>
  </si>
  <si>
    <t>24636219:eng</t>
  </si>
  <si>
    <t>29638264</t>
  </si>
  <si>
    <t>991002286659702656</t>
  </si>
  <si>
    <t>2271716360002656</t>
  </si>
  <si>
    <t>9780814656280</t>
  </si>
  <si>
    <t>32285003257200</t>
  </si>
  <si>
    <t>893898572</t>
  </si>
  <si>
    <t>BV5095.M43 P66 2004</t>
  </si>
  <si>
    <t>0                      BV 5095000M  43                 P  66          2004</t>
  </si>
  <si>
    <t>Mechthild of Magdeburg and her book : gender and the making of textual authority / Sara S. Poor</t>
  </si>
  <si>
    <t>Poor, Sara S.</t>
  </si>
  <si>
    <t>Philadelphia : University of Pennsylvania Press, c2004.</t>
  </si>
  <si>
    <t>Middle Ages series</t>
  </si>
  <si>
    <t>2008-12-03</t>
  </si>
  <si>
    <t>2006-02-09</t>
  </si>
  <si>
    <t>784443545:eng</t>
  </si>
  <si>
    <t>54692675</t>
  </si>
  <si>
    <t>991004737619702656</t>
  </si>
  <si>
    <t>2261507510002656</t>
  </si>
  <si>
    <t>9780812238020</t>
  </si>
  <si>
    <t>32285005166920</t>
  </si>
  <si>
    <t>893532741</t>
  </si>
  <si>
    <t>BV5095.U5 A75 1976</t>
  </si>
  <si>
    <t>0                      BV 5095000U  5                  A  75          1976</t>
  </si>
  <si>
    <t>Evelyn Underhill, 1875-1941 : an introduction to her life and writings / by Christopher J. R. Armstrong.</t>
  </si>
  <si>
    <t>Armstrong, Christopher J. R., 1935-</t>
  </si>
  <si>
    <t>Grand Rapids : Eerdmans, 1976, c1975.</t>
  </si>
  <si>
    <t>2634698:eng</t>
  </si>
  <si>
    <t>1818363</t>
  </si>
  <si>
    <t>991003899219702656</t>
  </si>
  <si>
    <t>2271306030002656</t>
  </si>
  <si>
    <t>9780802834744</t>
  </si>
  <si>
    <t>32285001016590</t>
  </si>
  <si>
    <t>893881797</t>
  </si>
  <si>
    <t>BV55 .C53 1977</t>
  </si>
  <si>
    <t>0                      BV 0055000C  53          1977</t>
  </si>
  <si>
    <t>The cosmic elements of Christian passover / Anscar J. Chupungco.</t>
  </si>
  <si>
    <t>Chupungco, Anscar J.</t>
  </si>
  <si>
    <t>Roma : Editrice anselmiana, 1977.</t>
  </si>
  <si>
    <t>Analecta liturgica ; 3</t>
  </si>
  <si>
    <t>1999-04-29</t>
  </si>
  <si>
    <t>14618205:eng</t>
  </si>
  <si>
    <t>4196792</t>
  </si>
  <si>
    <t>991004608019702656</t>
  </si>
  <si>
    <t>2261576490002656</t>
  </si>
  <si>
    <t>32285000835156</t>
  </si>
  <si>
    <t>893417814</t>
  </si>
  <si>
    <t>BV55 .H313 1969</t>
  </si>
  <si>
    <t>0                      BV 0055000H  313         1969</t>
  </si>
  <si>
    <t>The paschal mystery : ancient liturgies and patristic texts / editor: A. Hamman. English editorial supervisor: Thomas Halton. [Translated by Thomas Halton]</t>
  </si>
  <si>
    <t>Hamman, A.-G. (Adalbert-G.), 1910-2000, editor.</t>
  </si>
  <si>
    <t>Staten Island, N.Y. : Alba House, [1969]</t>
  </si>
  <si>
    <t>Alba patristic library ; 3</t>
  </si>
  <si>
    <t>2004-11-30</t>
  </si>
  <si>
    <t>4020843224:eng</t>
  </si>
  <si>
    <t>65630</t>
  </si>
  <si>
    <t>991000207399702656</t>
  </si>
  <si>
    <t>2259226710002656</t>
  </si>
  <si>
    <t>32285000835172</t>
  </si>
  <si>
    <t>893534093</t>
  </si>
  <si>
    <t>BV55 .M3 1988</t>
  </si>
  <si>
    <t>0                      BV 0055000M  3           1988</t>
  </si>
  <si>
    <t>Through Moses to Jesus : the way of the paschal mystery / Carlo M. Martini.</t>
  </si>
  <si>
    <t>Notre Dame, IN : Ave Maria Press, c1988.</t>
  </si>
  <si>
    <t>2006-10-05</t>
  </si>
  <si>
    <t>3743912:eng</t>
  </si>
  <si>
    <t>17652157</t>
  </si>
  <si>
    <t>991001247979702656</t>
  </si>
  <si>
    <t>2270029840002656</t>
  </si>
  <si>
    <t>9780877933755</t>
  </si>
  <si>
    <t>32285000835180</t>
  </si>
  <si>
    <t>893621200</t>
  </si>
  <si>
    <t>BV597 .M3</t>
  </si>
  <si>
    <t>0                      BV 0597000M  3</t>
  </si>
  <si>
    <t>The new Temple : the Church in the New Testament / by R.J. McKelvey.</t>
  </si>
  <si>
    <t>McKelvey, R. J.</t>
  </si>
  <si>
    <t>London, Oxford U.P., 1969.</t>
  </si>
  <si>
    <t>Oxford theological monographs</t>
  </si>
  <si>
    <t>1996-03-07</t>
  </si>
  <si>
    <t>1139005:eng</t>
  </si>
  <si>
    <t>16376</t>
  </si>
  <si>
    <t>991000015109702656</t>
  </si>
  <si>
    <t>2271498750002656</t>
  </si>
  <si>
    <t>9780198267034</t>
  </si>
  <si>
    <t>32285000902600</t>
  </si>
  <si>
    <t>893720543</t>
  </si>
  <si>
    <t>BV598 .B37</t>
  </si>
  <si>
    <t>0                      BV 0598000B  37</t>
  </si>
  <si>
    <t>La théologie de l'Église de saint Irénée au concile de Nicée / Gustave Bardy.</t>
  </si>
  <si>
    <t>Bardy, Gustave, 1881-1955.</t>
  </si>
  <si>
    <t>Paris, Éditions du Cerf, 1947.</t>
  </si>
  <si>
    <t>Unam sanctam ; 14</t>
  </si>
  <si>
    <t>2003-04-04</t>
  </si>
  <si>
    <t>2293499813:fre</t>
  </si>
  <si>
    <t>1546870</t>
  </si>
  <si>
    <t>991003815129702656</t>
  </si>
  <si>
    <t>2271423360002656</t>
  </si>
  <si>
    <t>32285000902642</t>
  </si>
  <si>
    <t>893429252</t>
  </si>
  <si>
    <t>BV598 .B8 1963</t>
  </si>
  <si>
    <t>0                      BV 0598000B  8           1963</t>
  </si>
  <si>
    <t>The idea of the church / B.C. Butler.</t>
  </si>
  <si>
    <t>Baltimore, Helicon Press [1963, c1962]</t>
  </si>
  <si>
    <t>1995-02-28</t>
  </si>
  <si>
    <t>2203898:eng</t>
  </si>
  <si>
    <t>1275635</t>
  </si>
  <si>
    <t>991003663599702656</t>
  </si>
  <si>
    <t>2260171410002656</t>
  </si>
  <si>
    <t>32285000902659</t>
  </si>
  <si>
    <t>893324322</t>
  </si>
  <si>
    <t>BV598 .G72 1975</t>
  </si>
  <si>
    <t>0                      BV 0598000G  72          1975</t>
  </si>
  <si>
    <t>Where Peter is : a survey of ecclesiology / Edward J. Gratsch.</t>
  </si>
  <si>
    <t>Gratsch, Edward J.</t>
  </si>
  <si>
    <t>New York : Alba House, [1975]</t>
  </si>
  <si>
    <t>2004-03-26</t>
  </si>
  <si>
    <t>1992-01-09</t>
  </si>
  <si>
    <t>2121936:eng</t>
  </si>
  <si>
    <t>1176115</t>
  </si>
  <si>
    <t>991003597999702656</t>
  </si>
  <si>
    <t>2271768340002656</t>
  </si>
  <si>
    <t>9780818903021</t>
  </si>
  <si>
    <t>32285000902691</t>
  </si>
  <si>
    <t>893793786</t>
  </si>
  <si>
    <t>BV598 .K425 1995</t>
  </si>
  <si>
    <t>0                      BV 0598000K  425         1995</t>
  </si>
  <si>
    <t>Who are the people of God? : early Christian models of community / Howard Clark Kee.</t>
  </si>
  <si>
    <t>Kee, Howard Clark.</t>
  </si>
  <si>
    <t>New Haven : Yale University Press, c1995.</t>
  </si>
  <si>
    <t>792368899:eng</t>
  </si>
  <si>
    <t>30475886</t>
  </si>
  <si>
    <t>991002341179702656</t>
  </si>
  <si>
    <t>2263537830002656</t>
  </si>
  <si>
    <t>9780300059526</t>
  </si>
  <si>
    <t>32285002112349</t>
  </si>
  <si>
    <t>893685246</t>
  </si>
  <si>
    <t>BV598 .M6</t>
  </si>
  <si>
    <t>0                      BV 0598000M  6</t>
  </si>
  <si>
    <t>Paul Tillich's theology of the church : a Catholic appraisal / Ronald Modras ; with a foreword by Hans Küng.</t>
  </si>
  <si>
    <t>Modras, Ronald E.</t>
  </si>
  <si>
    <t>Detroit : Wayne State University Press, 1976.</t>
  </si>
  <si>
    <t>2004-04-29</t>
  </si>
  <si>
    <t>155205297:eng</t>
  </si>
  <si>
    <t>2089489</t>
  </si>
  <si>
    <t>991004008589702656</t>
  </si>
  <si>
    <t>2263419890002656</t>
  </si>
  <si>
    <t>9780814315521</t>
  </si>
  <si>
    <t>32285000902758</t>
  </si>
  <si>
    <t>893712049</t>
  </si>
  <si>
    <t>BV598 .M87 1975</t>
  </si>
  <si>
    <t>0                      BV 0598000M  87          1975</t>
  </si>
  <si>
    <t>Symbols of church and kingdom : a study in early Syriac tradition / Robert Murray.</t>
  </si>
  <si>
    <t>Murray, Robert, 1908-2000.</t>
  </si>
  <si>
    <t>London ; New York : Cambridge University Press, 1975.</t>
  </si>
  <si>
    <t>2009-07-22</t>
  </si>
  <si>
    <t>863941518:eng</t>
  </si>
  <si>
    <t>1354740</t>
  </si>
  <si>
    <t>991003712619702656</t>
  </si>
  <si>
    <t>2271384590002656</t>
  </si>
  <si>
    <t>9780521205535</t>
  </si>
  <si>
    <t>32285000637297</t>
  </si>
  <si>
    <t>893422859</t>
  </si>
  <si>
    <t>BV6 .H2713</t>
  </si>
  <si>
    <t>0                      BV 0006000H  2713</t>
  </si>
  <si>
    <t>The worship of the early church / Ferdinand Hahn. Translated by David E. Green. Edited, with an introd., by John Reumann.</t>
  </si>
  <si>
    <t>Hahn, Ferdinand, 1926-</t>
  </si>
  <si>
    <t>Philadelphia, Fortress Press [1973]</t>
  </si>
  <si>
    <t>1998-02-10</t>
  </si>
  <si>
    <t>365606688:eng</t>
  </si>
  <si>
    <t>636381</t>
  </si>
  <si>
    <t>991003085969702656</t>
  </si>
  <si>
    <t>2255156680002656</t>
  </si>
  <si>
    <t>9780800601270</t>
  </si>
  <si>
    <t>32285000809722</t>
  </si>
  <si>
    <t>893434632</t>
  </si>
  <si>
    <t>BV6 .H87 2000</t>
  </si>
  <si>
    <t>0                      BV 0006000H  87          2000</t>
  </si>
  <si>
    <t>At the origins of Christian worship : the context and character of earliest Christian devotion / Larry W. Hurtado.</t>
  </si>
  <si>
    <t>Hurtado, Larry W., 1943-</t>
  </si>
  <si>
    <t>Grand Rapids, Mich. : W.B. Eerdmans Pub. Co., 2000.</t>
  </si>
  <si>
    <t>2002-09-12</t>
  </si>
  <si>
    <t>33621054:eng</t>
  </si>
  <si>
    <t>44133065</t>
  </si>
  <si>
    <t>991003836729702656</t>
  </si>
  <si>
    <t>2270374640002656</t>
  </si>
  <si>
    <t>9780802847492</t>
  </si>
  <si>
    <t>32285004498787</t>
  </si>
  <si>
    <t>893781464</t>
  </si>
  <si>
    <t>BV6 .M37 1975</t>
  </si>
  <si>
    <t>0                      BV 0006000M  37          1975</t>
  </si>
  <si>
    <t>Worship in the early church / by Ralph P. Martin.</t>
  </si>
  <si>
    <t>Martin, Ralph P.</t>
  </si>
  <si>
    <t>Grand Rapids : Eerdmans, 1974, 1975 printing, c1964.</t>
  </si>
  <si>
    <t>2005-08-26</t>
  </si>
  <si>
    <t>578379:eng</t>
  </si>
  <si>
    <t>1341551</t>
  </si>
  <si>
    <t>991003704949702656</t>
  </si>
  <si>
    <t>2262420090002656</t>
  </si>
  <si>
    <t>9780802816139</t>
  </si>
  <si>
    <t>32285000809730</t>
  </si>
  <si>
    <t>893252660</t>
  </si>
  <si>
    <t>BV6 .W67 1993</t>
  </si>
  <si>
    <t>0                      BV 0006000W  67          1993</t>
  </si>
  <si>
    <t>Worship in early Christianity / edited with introductions by Everett Ferguson.</t>
  </si>
  <si>
    <t>New York : Garland, 1993.</t>
  </si>
  <si>
    <t>Studies in early Christianity ; v. 15</t>
  </si>
  <si>
    <t>2005-11-04</t>
  </si>
  <si>
    <t>1993-04-13</t>
  </si>
  <si>
    <t>354591:eng</t>
  </si>
  <si>
    <t>27107079</t>
  </si>
  <si>
    <t>991002115039702656</t>
  </si>
  <si>
    <t>2261017590002656</t>
  </si>
  <si>
    <t>9780815310754</t>
  </si>
  <si>
    <t>32285001499275</t>
  </si>
  <si>
    <t>893590930</t>
  </si>
  <si>
    <t>BV600 .C437 1984</t>
  </si>
  <si>
    <t>0                      BV 0600000C  437         1984</t>
  </si>
  <si>
    <t>The liberation of the church : the role of basic Christian groups in a new re-formation / David Clark.</t>
  </si>
  <si>
    <t>Clark, David, 1934-</t>
  </si>
  <si>
    <t>Birmingham [West Midlands] : National Centre for Christian Communities and Networks, 1984.</t>
  </si>
  <si>
    <t>1994-02-03</t>
  </si>
  <si>
    <t>21061618:eng</t>
  </si>
  <si>
    <t>60045736</t>
  </si>
  <si>
    <t>991000556659702656</t>
  </si>
  <si>
    <t>2260965510002656</t>
  </si>
  <si>
    <t>9780946185054</t>
  </si>
  <si>
    <t>32285000902832</t>
  </si>
  <si>
    <t>893771749</t>
  </si>
  <si>
    <t>BV600 .G85</t>
  </si>
  <si>
    <t>0                      BV 0600000G  85</t>
  </si>
  <si>
    <t>Treasure in earthen vessels : the church as a human community / James M. Gustafson.</t>
  </si>
  <si>
    <t>Gustafson, James M.</t>
  </si>
  <si>
    <t>New York, Harper [1961]</t>
  </si>
  <si>
    <t>2007-07-20</t>
  </si>
  <si>
    <t>1509059:eng</t>
  </si>
  <si>
    <t>385835</t>
  </si>
  <si>
    <t>991002646079702656</t>
  </si>
  <si>
    <t>2259133550002656</t>
  </si>
  <si>
    <t>32285000902840</t>
  </si>
  <si>
    <t>893421626</t>
  </si>
  <si>
    <t>BV600 .M3</t>
  </si>
  <si>
    <t>0                      BV 0600000M  3</t>
  </si>
  <si>
    <t>Corpus Christi : essays on the Church and the Eucharist / by E. L. Mascall.</t>
  </si>
  <si>
    <t>Mascall, E. L. (Eric Lionel), 1905-1993.</t>
  </si>
  <si>
    <t>London ; New York : Longmans, 1953.</t>
  </si>
  <si>
    <t>1998-06-15</t>
  </si>
  <si>
    <t>433792562:eng</t>
  </si>
  <si>
    <t>2660939</t>
  </si>
  <si>
    <t>991004204379702656</t>
  </si>
  <si>
    <t>2262228280002656</t>
  </si>
  <si>
    <t>32285000902865</t>
  </si>
  <si>
    <t>893241150</t>
  </si>
  <si>
    <t>BV600.2 .B313</t>
  </si>
  <si>
    <t>0                      BV 0600200B  313</t>
  </si>
  <si>
    <t>Church and world / Hans Urs von Balthasar. Translated by A.V. Littledale with Alexander Dru.</t>
  </si>
  <si>
    <t>Balthasar, Hans Urs von, 1905-1988.</t>
  </si>
  <si>
    <t>[New York] Herder and Herder [1967]</t>
  </si>
  <si>
    <t>2005-11-02</t>
  </si>
  <si>
    <t>1990-03-02</t>
  </si>
  <si>
    <t>48536006:eng</t>
  </si>
  <si>
    <t>1838193</t>
  </si>
  <si>
    <t>991003905939702656</t>
  </si>
  <si>
    <t>2254832920002656</t>
  </si>
  <si>
    <t>32285000074269</t>
  </si>
  <si>
    <t>893794247</t>
  </si>
  <si>
    <t>BV600.2 .C554 1996</t>
  </si>
  <si>
    <t>0                      BV 0600200C  554         1996</t>
  </si>
  <si>
    <t>A peculiar people : the Church as culture in a post-Christian society / Rodney Clapp.</t>
  </si>
  <si>
    <t>Clapp, Rodney.</t>
  </si>
  <si>
    <t>20690520:eng</t>
  </si>
  <si>
    <t>34919668</t>
  </si>
  <si>
    <t>991004780339702656</t>
  </si>
  <si>
    <t>2259771650002656</t>
  </si>
  <si>
    <t>9780830819904</t>
  </si>
  <si>
    <t>32285005180657</t>
  </si>
  <si>
    <t>893443047</t>
  </si>
  <si>
    <t>BV600.2 .E94 1994</t>
  </si>
  <si>
    <t>0                      BV 0600200E  94          1994</t>
  </si>
  <si>
    <t>The Church and the churches : toward an ecumenical ecclesiology / G.R. Evans.</t>
  </si>
  <si>
    <t>Evans, G. R. (Gillian Rosemary)</t>
  </si>
  <si>
    <t>Cambridge ; New York : Cambridge University Press, 1994.</t>
  </si>
  <si>
    <t>1996-04-12</t>
  </si>
  <si>
    <t>836964359:eng</t>
  </si>
  <si>
    <t>29429649</t>
  </si>
  <si>
    <t>991002268939702656</t>
  </si>
  <si>
    <t>2271417640002656</t>
  </si>
  <si>
    <t>9780521462860</t>
  </si>
  <si>
    <t>32285002152378</t>
  </si>
  <si>
    <t>893697560</t>
  </si>
  <si>
    <t>BV600.2 .H343</t>
  </si>
  <si>
    <t>0                      BV 0600200H  343</t>
  </si>
  <si>
    <t>The Church and God's people / Bernhard Hanssler. Translated by Gregory Roettger.</t>
  </si>
  <si>
    <t>Hanssler, Bernhard.</t>
  </si>
  <si>
    <t>Baltimore, Helicon [c1963]</t>
  </si>
  <si>
    <t>1997-04-21</t>
  </si>
  <si>
    <t>1615551:eng</t>
  </si>
  <si>
    <t>654980</t>
  </si>
  <si>
    <t>991003107779702656</t>
  </si>
  <si>
    <t>2262102350002656</t>
  </si>
  <si>
    <t>32285000902907</t>
  </si>
  <si>
    <t>893704913</t>
  </si>
  <si>
    <t>BV600.2 .H39</t>
  </si>
  <si>
    <t>0                      BV 0600200H  39</t>
  </si>
  <si>
    <t>The theology of the church / by Peter Hebblethwaite.</t>
  </si>
  <si>
    <t>Hebblethwaite, Peter.</t>
  </si>
  <si>
    <t>Notre Dame, Ind., Fides Publishers [1969]</t>
  </si>
  <si>
    <t>Theology today ; no. 8</t>
  </si>
  <si>
    <t>2004-04-07</t>
  </si>
  <si>
    <t>3943742123:eng</t>
  </si>
  <si>
    <t>48544</t>
  </si>
  <si>
    <t>991000113979702656</t>
  </si>
  <si>
    <t>2263243610002656</t>
  </si>
  <si>
    <t>32285000269927</t>
  </si>
  <si>
    <t>893595289</t>
  </si>
  <si>
    <t>BV600.2 .H568 1988</t>
  </si>
  <si>
    <t>0                      BV 0600200H  568         1988</t>
  </si>
  <si>
    <t>Revisioning the church : ecclesial freedom in the new paradigm / Peter C. Hodgson.</t>
  </si>
  <si>
    <t>Hodgson, Peter Crafts, 1934-</t>
  </si>
  <si>
    <t>Philadelphia : Fortress Press, c1988.</t>
  </si>
  <si>
    <t>2004-11-07</t>
  </si>
  <si>
    <t>1991-04-09</t>
  </si>
  <si>
    <t>12653499:eng</t>
  </si>
  <si>
    <t>16683977</t>
  </si>
  <si>
    <t>991001132129702656</t>
  </si>
  <si>
    <t>2272779810002656</t>
  </si>
  <si>
    <t>9780800620721</t>
  </si>
  <si>
    <t>32285000566769</t>
  </si>
  <si>
    <t>893797321</t>
  </si>
  <si>
    <t>BV600.2 .L327 1999</t>
  </si>
  <si>
    <t>0                      BV 0600200L  327         1999</t>
  </si>
  <si>
    <t>Holy people : a liturgical ecclesiology / Gordon W. Lathrop.</t>
  </si>
  <si>
    <t>Minneapolis, MN : Fortress Press, c1999.</t>
  </si>
  <si>
    <t>4202636718:eng</t>
  </si>
  <si>
    <t>40631850</t>
  </si>
  <si>
    <t>991003218949702656</t>
  </si>
  <si>
    <t>2261927580002656</t>
  </si>
  <si>
    <t>9780800631338</t>
  </si>
  <si>
    <t>32285003761680</t>
  </si>
  <si>
    <t>893348447</t>
  </si>
  <si>
    <t>BV600.2 .O35</t>
  </si>
  <si>
    <t>0                      BV 0600200O  35</t>
  </si>
  <si>
    <t>The Church in the theology of Karl Barth / Colm O'Grady.</t>
  </si>
  <si>
    <t>O'Grady, Colm.</t>
  </si>
  <si>
    <t>Washington : Corpus Books, 1968.</t>
  </si>
  <si>
    <t>1997-10-07</t>
  </si>
  <si>
    <t>1137058:eng</t>
  </si>
  <si>
    <t>2012941</t>
  </si>
  <si>
    <t>991003978279702656</t>
  </si>
  <si>
    <t>2266645500002656</t>
  </si>
  <si>
    <t>32285000902964</t>
  </si>
  <si>
    <t>893519118</t>
  </si>
  <si>
    <t>BV600.2 .P34513 1983</t>
  </si>
  <si>
    <t>0                      BV 0600200P  34513       1983</t>
  </si>
  <si>
    <t>The Church / by Wolfhart Pannenberg ; translated by Keith Crim.</t>
  </si>
  <si>
    <t>432391844:eng</t>
  </si>
  <si>
    <t>9082725</t>
  </si>
  <si>
    <t>991000125369702656</t>
  </si>
  <si>
    <t>2255164920002656</t>
  </si>
  <si>
    <t>9780664244606</t>
  </si>
  <si>
    <t>32285000902972</t>
  </si>
  <si>
    <t>893333235</t>
  </si>
  <si>
    <t>BV600.2 .R333</t>
  </si>
  <si>
    <t>0                      BV 0600200R  333</t>
  </si>
  <si>
    <t>Theology for renewal : bishops, priests, laity / by Karl Rahner. Translated by Cecily Hastings and Richard Strachan.</t>
  </si>
  <si>
    <t>New York, Sheed and Ward [c1964]</t>
  </si>
  <si>
    <t>2909035441:eng</t>
  </si>
  <si>
    <t>654989</t>
  </si>
  <si>
    <t>991003107809702656</t>
  </si>
  <si>
    <t>2262102160002656</t>
  </si>
  <si>
    <t>32285000903046</t>
  </si>
  <si>
    <t>893530854</t>
  </si>
  <si>
    <t>BV600.2 .R3413</t>
  </si>
  <si>
    <t>0                      BV 0600200R  3413</t>
  </si>
  <si>
    <t>Theology of pastoral action / by Karl Rahner. [Translated by W. J. O'Hara and adapted for an English-speaking audience by Daniel Morrissey.</t>
  </si>
  <si>
    <t>New York] Herder and Herder [1968]</t>
  </si>
  <si>
    <t>Studies in pastoral theology ; v. 1</t>
  </si>
  <si>
    <t>52124342:eng</t>
  </si>
  <si>
    <t>72289</t>
  </si>
  <si>
    <t>991000377379702656</t>
  </si>
  <si>
    <t>2271447360002656</t>
  </si>
  <si>
    <t>32285000903053</t>
  </si>
  <si>
    <t>893327242</t>
  </si>
  <si>
    <t>BV600.2 .R3613 1974</t>
  </si>
  <si>
    <t>0                      BV 0600200R  3613        1974</t>
  </si>
  <si>
    <t>The shape of the church to come / Translation and introd. by Edward Quinn.</t>
  </si>
  <si>
    <t>2004-05-04</t>
  </si>
  <si>
    <t>1151017911:eng</t>
  </si>
  <si>
    <t>922410</t>
  </si>
  <si>
    <t>991003385269702656</t>
  </si>
  <si>
    <t>2269769290002656</t>
  </si>
  <si>
    <t>9780816411818</t>
  </si>
  <si>
    <t>32285000903079</t>
  </si>
  <si>
    <t>893881113</t>
  </si>
  <si>
    <t>BV600.2 .R49 1983</t>
  </si>
  <si>
    <t>0                      BV 0600200R  49          1983</t>
  </si>
  <si>
    <t>The nature and necessity of Christ's Church : an introduction to ecclesiology / Michael Richards.</t>
  </si>
  <si>
    <t>Richards, Michael.</t>
  </si>
  <si>
    <t>New York, N.Y. : Alba House, c1983.</t>
  </si>
  <si>
    <t>43007866:eng</t>
  </si>
  <si>
    <t>9219290</t>
  </si>
  <si>
    <t>991000153749702656</t>
  </si>
  <si>
    <t>2268379430002656</t>
  </si>
  <si>
    <t>9780818904585</t>
  </si>
  <si>
    <t>32285000150523</t>
  </si>
  <si>
    <t>893683201</t>
  </si>
  <si>
    <t>BV600.2 .R6</t>
  </si>
  <si>
    <t>0                      BV 0600200R  6</t>
  </si>
  <si>
    <t>On being the Church in the world / [by] John A. T. Robinson.</t>
  </si>
  <si>
    <t>Philadelphia, Westminster Press, [c1960]</t>
  </si>
  <si>
    <t>102713929:eng</t>
  </si>
  <si>
    <t>1411791</t>
  </si>
  <si>
    <t>991003743769702656</t>
  </si>
  <si>
    <t>2256086370002656</t>
  </si>
  <si>
    <t>32285000903087</t>
  </si>
  <si>
    <t>893410633</t>
  </si>
  <si>
    <t>BV600.2 .R867 1993</t>
  </si>
  <si>
    <t>0                      BV 0600200R  867         1993</t>
  </si>
  <si>
    <t>Church in the round : feminist interpretation of the church / Letty M. Russell.</t>
  </si>
  <si>
    <t>Russell, Letty M.</t>
  </si>
  <si>
    <t>Louisville, Ky. : Westminster/J. Knox Press, c1993.</t>
  </si>
  <si>
    <t>2005-06-27</t>
  </si>
  <si>
    <t>793469590:eng</t>
  </si>
  <si>
    <t>27432428</t>
  </si>
  <si>
    <t>991002141599702656</t>
  </si>
  <si>
    <t>2264972610002656</t>
  </si>
  <si>
    <t>9780664250706</t>
  </si>
  <si>
    <t>32285001876357</t>
  </si>
  <si>
    <t>893529592</t>
  </si>
  <si>
    <t>BV600.2 .W494 2004</t>
  </si>
  <si>
    <t>0                      BV 0600200W  494         2004</t>
  </si>
  <si>
    <t>Living the faith community / John H. Westerhoff, III.</t>
  </si>
  <si>
    <t>Westerhoff, John H., III, 1933-</t>
  </si>
  <si>
    <t>New York : Church Pub., 2004.</t>
  </si>
  <si>
    <t>Seabury Classics</t>
  </si>
  <si>
    <t>5578636:eng</t>
  </si>
  <si>
    <t>57178076</t>
  </si>
  <si>
    <t>991005041689702656</t>
  </si>
  <si>
    <t>2257186760002656</t>
  </si>
  <si>
    <t>9781596280038</t>
  </si>
  <si>
    <t>32285005282263</t>
  </si>
  <si>
    <t>893688509</t>
  </si>
  <si>
    <t>BV600.2 .Y685 2000</t>
  </si>
  <si>
    <t>0                      BV 0600200Y  685         2000</t>
  </si>
  <si>
    <t>Re-creating the church : communities of eros / Pamela Dickey Young.</t>
  </si>
  <si>
    <t>Young, Pamela Dickey, 1955-</t>
  </si>
  <si>
    <t>Harrisburg, Pa. : Trinity Press International, c2000.</t>
  </si>
  <si>
    <t>1083601105:eng</t>
  </si>
  <si>
    <t>43751897</t>
  </si>
  <si>
    <t>991003531199702656</t>
  </si>
  <si>
    <t>2264333600002656</t>
  </si>
  <si>
    <t>9781563383205</t>
  </si>
  <si>
    <t>32285004315601</t>
  </si>
  <si>
    <t>893531270</t>
  </si>
  <si>
    <t>BV600.2 .Z54 1983</t>
  </si>
  <si>
    <t>0                      BV 0600200Z  54          1983</t>
  </si>
  <si>
    <t>Discovering the church / by Barbara Brown Zikmund.</t>
  </si>
  <si>
    <t>Zikmund, Barbara Brown.</t>
  </si>
  <si>
    <t>Library of living faith</t>
  </si>
  <si>
    <t>176241849:eng</t>
  </si>
  <si>
    <t>9110444</t>
  </si>
  <si>
    <t>991000129419702656</t>
  </si>
  <si>
    <t>2268734410002656</t>
  </si>
  <si>
    <t>9780664244415</t>
  </si>
  <si>
    <t>32285000903137</t>
  </si>
  <si>
    <t>893515036</t>
  </si>
  <si>
    <t>BV600.3 .K37 2002</t>
  </si>
  <si>
    <t>0                      BV 0600300K  37          2002</t>
  </si>
  <si>
    <t>Introduction to ecclesiology : ecumenical, historical &amp; global perspectives / Veli-Matti Kärkkäinen.</t>
  </si>
  <si>
    <t>Kärkkäinen, Veli-Matti.</t>
  </si>
  <si>
    <t>Downers Grove, Ill. : InterVarsity Press, c2002.</t>
  </si>
  <si>
    <t>2009-06-29</t>
  </si>
  <si>
    <t>2003-11-05</t>
  </si>
  <si>
    <t>891442823:eng</t>
  </si>
  <si>
    <t>49935970</t>
  </si>
  <si>
    <t>991004145839702656</t>
  </si>
  <si>
    <t>2254711300002656</t>
  </si>
  <si>
    <t>9780830826889</t>
  </si>
  <si>
    <t>32285004794144</t>
  </si>
  <si>
    <t>893788334</t>
  </si>
  <si>
    <t>BV600.3 .S63 2005</t>
  </si>
  <si>
    <t>0                      BV 0600300S  63          2005</t>
  </si>
  <si>
    <t>Small Christian communities today : capturing the new moment / Joseph G. Healey and Jeanne Hinton, editors.</t>
  </si>
  <si>
    <t>Maryknoll, N.Y. : Orbis Books, c2005.</t>
  </si>
  <si>
    <t>2006-07-21</t>
  </si>
  <si>
    <t>479187499:eng</t>
  </si>
  <si>
    <t>58919841</t>
  </si>
  <si>
    <t>991004709719702656</t>
  </si>
  <si>
    <t>2270406150002656</t>
  </si>
  <si>
    <t>9781570756184</t>
  </si>
  <si>
    <t>32285005157002</t>
  </si>
  <si>
    <t>893247887</t>
  </si>
  <si>
    <t>BV600.5 .C5</t>
  </si>
  <si>
    <t>0                      BV 0600500C  5</t>
  </si>
  <si>
    <t>The Church as the body of Christ / [by] K. E. Skydsgaard [and others.</t>
  </si>
  <si>
    <t>Notre Dame, Ind.] University of Notre Dame Press, 1963.</t>
  </si>
  <si>
    <t>The Cardinal O'Hara series, vol. 1.</t>
  </si>
  <si>
    <t>472999321:eng</t>
  </si>
  <si>
    <t>708967</t>
  </si>
  <si>
    <t>991003173629702656</t>
  </si>
  <si>
    <t>2269399000002656</t>
  </si>
  <si>
    <t>32285000903145</t>
  </si>
  <si>
    <t>893880888</t>
  </si>
  <si>
    <t>BV600.5 .H3</t>
  </si>
  <si>
    <t>0                      BV 0600500H  3</t>
  </si>
  <si>
    <t>The life of the mystical body : the church, grace, and the sacraments / by Philip L. Hanley.</t>
  </si>
  <si>
    <t>Hanley, Philip L.</t>
  </si>
  <si>
    <t>Westminster,Md., Newman Press, 1961.</t>
  </si>
  <si>
    <t>1998-11-02</t>
  </si>
  <si>
    <t>1807211586:eng</t>
  </si>
  <si>
    <t>655437</t>
  </si>
  <si>
    <t>991003108329702656</t>
  </si>
  <si>
    <t>2260782810002656</t>
  </si>
  <si>
    <t>32285000903152</t>
  </si>
  <si>
    <t>893498952</t>
  </si>
  <si>
    <t>BV600.5 .M813</t>
  </si>
  <si>
    <t>0                      BV 0600500M  813</t>
  </si>
  <si>
    <t>The nature of the mystical body / Ernest Mura. Translated by M.Angeline Bouchard.</t>
  </si>
  <si>
    <t>Mura, Ernest, 1900-</t>
  </si>
  <si>
    <t>[St.Louis] B.Herder Book Co [c1963]</t>
  </si>
  <si>
    <t>10076108749:eng</t>
  </si>
  <si>
    <t>655424</t>
  </si>
  <si>
    <t>991003108269702656</t>
  </si>
  <si>
    <t>2260783000002656</t>
  </si>
  <si>
    <t>32285000903178</t>
  </si>
  <si>
    <t>893799394</t>
  </si>
  <si>
    <t>BV600.5 .S3</t>
  </si>
  <si>
    <t>0                      BV 0600500S  3</t>
  </si>
  <si>
    <t>The church as the body of Christ / by Eduard Schweizer.</t>
  </si>
  <si>
    <t>Schweizer, Eduard, 1913-2006.</t>
  </si>
  <si>
    <t>Richmond, John Knox Press [1964]</t>
  </si>
  <si>
    <t>T.V. Moore lectures ; 1962</t>
  </si>
  <si>
    <t>114069725:eng</t>
  </si>
  <si>
    <t>736493</t>
  </si>
  <si>
    <t>991003210189702656</t>
  </si>
  <si>
    <t>2255038140002656</t>
  </si>
  <si>
    <t>32285000903194</t>
  </si>
  <si>
    <t>893617100</t>
  </si>
  <si>
    <t>BV601.2 .B63</t>
  </si>
  <si>
    <t>0                      BV 0601200B  63</t>
  </si>
  <si>
    <t>Evangelization in America : proclamation, way of life, and the Catholic Church in the United States / David Bohr.</t>
  </si>
  <si>
    <t>Bohr, David.</t>
  </si>
  <si>
    <t>1996-11-09</t>
  </si>
  <si>
    <t>228577677:eng</t>
  </si>
  <si>
    <t>3326764</t>
  </si>
  <si>
    <t>991004406989702656</t>
  </si>
  <si>
    <t>2270334990002656</t>
  </si>
  <si>
    <t>9780809120390</t>
  </si>
  <si>
    <t>32285000903228</t>
  </si>
  <si>
    <t>893712548</t>
  </si>
  <si>
    <t>BV601.2 .B87 2004</t>
  </si>
  <si>
    <t>0                      BV 0601200B  87          2004</t>
  </si>
  <si>
    <t>Apostolicity then and now : an ecumenical church in a postmodern world / John J. Burkhard.</t>
  </si>
  <si>
    <t>Burkhard, John J., 1940-</t>
  </si>
  <si>
    <t>Collegeville, Minn. : Liturgical Press, c2004.</t>
  </si>
  <si>
    <t>2005-01-25</t>
  </si>
  <si>
    <t>905880975:eng</t>
  </si>
  <si>
    <t>54896952</t>
  </si>
  <si>
    <t>991004404179702656</t>
  </si>
  <si>
    <t>2255110680002656</t>
  </si>
  <si>
    <t>9780814651216</t>
  </si>
  <si>
    <t>32285005022677</t>
  </si>
  <si>
    <t>893894961</t>
  </si>
  <si>
    <t>BV601.6.I5 I525</t>
  </si>
  <si>
    <t>0                      BV 0601600I  5                  I  525</t>
  </si>
  <si>
    <t>The Infallibility debate / [by] Gregory Baum [and others]. Edited by John J. Kirvan.</t>
  </si>
  <si>
    <t>New York, Paulist Press [1971]</t>
  </si>
  <si>
    <t>2004-02-14</t>
  </si>
  <si>
    <t>1990-03-19</t>
  </si>
  <si>
    <t>378259950:eng</t>
  </si>
  <si>
    <t>196489</t>
  </si>
  <si>
    <t>991001220329702656</t>
  </si>
  <si>
    <t>2270115100002656</t>
  </si>
  <si>
    <t>32285000079607</t>
  </si>
  <si>
    <t>893772412</t>
  </si>
  <si>
    <t>BV601.6.I5 K813</t>
  </si>
  <si>
    <t>0                      BV 0601600I  5                  K  813</t>
  </si>
  <si>
    <t>Infallible? An inquiry / Hans Küng. Translated by Edward Quinn.</t>
  </si>
  <si>
    <t>Küng, Hans, 1928-</t>
  </si>
  <si>
    <t>4494928872:eng</t>
  </si>
  <si>
    <t>132286</t>
  </si>
  <si>
    <t>991000775049702656</t>
  </si>
  <si>
    <t>2256796900002656</t>
  </si>
  <si>
    <t>32285000637289</t>
  </si>
  <si>
    <t>893509098</t>
  </si>
  <si>
    <t>BV601.6.I5 K82</t>
  </si>
  <si>
    <t>0                      BV 0601600I  5                  K  82</t>
  </si>
  <si>
    <t>The Küng dialogue : a documentation on the efforts of the Congregation for the Doctrine of the Faith and of the Conference of German Bishops to achieve appropriate clarification of the controversial views of Dr. Hans Küng (Tübingen).</t>
  </si>
  <si>
    <t>Washington, D.C. : U.S. Catholic Conference, c1980.</t>
  </si>
  <si>
    <t>1999-01-18</t>
  </si>
  <si>
    <t>1999-03-04</t>
  </si>
  <si>
    <t>25506229:eng</t>
  </si>
  <si>
    <t>7157073</t>
  </si>
  <si>
    <t>991005078219702656</t>
  </si>
  <si>
    <t>2267810290002656</t>
  </si>
  <si>
    <t>32285003263117</t>
  </si>
  <si>
    <t>893520384</t>
  </si>
  <si>
    <t>BV601.8 .B35 2005</t>
  </si>
  <si>
    <t>0                      BV 0601800B  35          2005</t>
  </si>
  <si>
    <t>Being Catholic : from the heart : reflections on mission, identity and the Catholic school : keynote address / Gordon D. Bennett.</t>
  </si>
  <si>
    <t>Bennett, Gordon D., S.J.</t>
  </si>
  <si>
    <t>2010-05-28</t>
  </si>
  <si>
    <t>47390465:eng</t>
  </si>
  <si>
    <t>63204837</t>
  </si>
  <si>
    <t>991004765079702656</t>
  </si>
  <si>
    <t>2258667150002656</t>
  </si>
  <si>
    <t>9781558333642</t>
  </si>
  <si>
    <t>32285005165310</t>
  </si>
  <si>
    <t>893443024</t>
  </si>
  <si>
    <t>BV601.8 .B675 1985</t>
  </si>
  <si>
    <t>0                      BV 0601800B  675         1985</t>
  </si>
  <si>
    <t>The apostolic imperative : nature and aim of the church's mission and ministry / Carl E. Braaten.</t>
  </si>
  <si>
    <t>Braaten, Carl E., 1929-</t>
  </si>
  <si>
    <t>Minneapolis : Augsburg Pub. House, c1985.</t>
  </si>
  <si>
    <t>1998-05-17</t>
  </si>
  <si>
    <t>138559482:eng</t>
  </si>
  <si>
    <t>12021941</t>
  </si>
  <si>
    <t>991000625579702656</t>
  </si>
  <si>
    <t>2270652330002656</t>
  </si>
  <si>
    <t>9780806621685</t>
  </si>
  <si>
    <t>32285000903277</t>
  </si>
  <si>
    <t>893614352</t>
  </si>
  <si>
    <t>BV601.8 .M43 1991</t>
  </si>
  <si>
    <t>0                      BV 0601800M  43          1991</t>
  </si>
  <si>
    <t>The once and future church : reinventing the congregation for a new mission frontier / Loren B. Mead.</t>
  </si>
  <si>
    <t>Mead, Loren B.</t>
  </si>
  <si>
    <t>Washington, [D.C.] : Alban Institute, c1991.</t>
  </si>
  <si>
    <t>2009-07-27</t>
  </si>
  <si>
    <t>960649894:eng</t>
  </si>
  <si>
    <t>25408644</t>
  </si>
  <si>
    <t>991005328129702656</t>
  </si>
  <si>
    <t>2267095520002656</t>
  </si>
  <si>
    <t>9781566990509</t>
  </si>
  <si>
    <t>32285005539472</t>
  </si>
  <si>
    <t>893424914</t>
  </si>
  <si>
    <t>BV601.85 .W35 1985</t>
  </si>
  <si>
    <t>0                      BV 0601850W  35          1985</t>
  </si>
  <si>
    <t>Restoring the Kingdom, : the radical Christianity of the House Church Movement / Andrew Walker.</t>
  </si>
  <si>
    <t>Walker, Andrew, 1945-</t>
  </si>
  <si>
    <t>London : Hodder &amp; Stoughton, c1985, 1986 printing.</t>
  </si>
  <si>
    <t>1994-01-31</t>
  </si>
  <si>
    <t>4921763:eng</t>
  </si>
  <si>
    <t>12513723</t>
  </si>
  <si>
    <t>991000696029702656</t>
  </si>
  <si>
    <t>2255922500002656</t>
  </si>
  <si>
    <t>9780340372807</t>
  </si>
  <si>
    <t>32285000903327</t>
  </si>
  <si>
    <t>893419696</t>
  </si>
  <si>
    <t>BV603 .C63 1982</t>
  </si>
  <si>
    <t>0                      BV 0603000C  63          1982</t>
  </si>
  <si>
    <t>Communio Sanctorum : mélanges offerts à Jean-Jacques von Allmen / B. Bobrinskoy ... [et al.].</t>
  </si>
  <si>
    <t>Genève : Labor et fides, c1982.</t>
  </si>
  <si>
    <t xml:space="preserve">sz </t>
  </si>
  <si>
    <t>1993-03-25</t>
  </si>
  <si>
    <t>889339169:fre</t>
  </si>
  <si>
    <t>9579005</t>
  </si>
  <si>
    <t>991000222889702656</t>
  </si>
  <si>
    <t>2272304460002656</t>
  </si>
  <si>
    <t>32285000903368</t>
  </si>
  <si>
    <t>893614030</t>
  </si>
  <si>
    <t>BV603 .M44 1978a</t>
  </si>
  <si>
    <t>0                      BV 0603000M  44          1978a</t>
  </si>
  <si>
    <t>The open church : invitation to a messianic lifestyle / Jürgen Moltmann ; [translated with an introd. by M. Douglas Meeks].</t>
  </si>
  <si>
    <t>London : SCM Press, 1978.</t>
  </si>
  <si>
    <t>1st British ed.</t>
  </si>
  <si>
    <t>2009-06-15</t>
  </si>
  <si>
    <t>4061472666:eng</t>
  </si>
  <si>
    <t>3809942</t>
  </si>
  <si>
    <t>991004519999702656</t>
  </si>
  <si>
    <t>2267670330002656</t>
  </si>
  <si>
    <t>9780334011873</t>
  </si>
  <si>
    <t>32285000903384</t>
  </si>
  <si>
    <t>893259816</t>
  </si>
  <si>
    <t>BV603 .P3</t>
  </si>
  <si>
    <t>0                      BV 0603000P  3</t>
  </si>
  <si>
    <t>Spirit, faith, and church / by Wolfhart Pannenberg, Avery Dulles [and] Carl E. Braaten.</t>
  </si>
  <si>
    <t>The Walter and Mary Tuohy Chair lectures, 1969</t>
  </si>
  <si>
    <t>2000-12-20</t>
  </si>
  <si>
    <t>1991-12-30</t>
  </si>
  <si>
    <t>4417352147:eng</t>
  </si>
  <si>
    <t>68434</t>
  </si>
  <si>
    <t>991000268539702656</t>
  </si>
  <si>
    <t>2257714810002656</t>
  </si>
  <si>
    <t>9780664208806</t>
  </si>
  <si>
    <t>32285000881580</t>
  </si>
  <si>
    <t>893345519</t>
  </si>
  <si>
    <t>BV610 .S34 1986</t>
  </si>
  <si>
    <t>0                      BV 0610000S  34          1986</t>
  </si>
  <si>
    <t>Principles of Christian morality / Heinz Schürmann, Joseph Cardinal Ratzinger, Hans Urs Von Balthasar ; translated by Graham Harrison.</t>
  </si>
  <si>
    <t>Schürmann, Heinz.</t>
  </si>
  <si>
    <t>San Francisco : Ignatius Press, c1986.</t>
  </si>
  <si>
    <t>2004-09-30</t>
  </si>
  <si>
    <t>5090406418:eng</t>
  </si>
  <si>
    <t>15195665</t>
  </si>
  <si>
    <t>991000865859702656</t>
  </si>
  <si>
    <t>2272696960002656</t>
  </si>
  <si>
    <t>9780898700862</t>
  </si>
  <si>
    <t>32285000903400</t>
  </si>
  <si>
    <t>893865757</t>
  </si>
  <si>
    <t>BV625 .B45</t>
  </si>
  <si>
    <t>0                      BV 0625000B  45</t>
  </si>
  <si>
    <t>Consequences : truth and ... / by Daniel Berrigan.</t>
  </si>
  <si>
    <t>Berrigan, Daniel.</t>
  </si>
  <si>
    <t>New York, Macmillan [1967]</t>
  </si>
  <si>
    <t>2010-01-17</t>
  </si>
  <si>
    <t>1507423:eng</t>
  </si>
  <si>
    <t>385427</t>
  </si>
  <si>
    <t>991002644579702656</t>
  </si>
  <si>
    <t>2258924830002656</t>
  </si>
  <si>
    <t>32285000903418</t>
  </si>
  <si>
    <t>893415452</t>
  </si>
  <si>
    <t>BV625 .C48 1994</t>
  </si>
  <si>
    <t>0                      BV 0625000C  48          1994</t>
  </si>
  <si>
    <t>The Churches and inter-community relationships / by Duncan Morrow ... [et al.].</t>
  </si>
  <si>
    <t>Coleraine : Centre for the Study of Conflict, University of Ulster, 1994.</t>
  </si>
  <si>
    <t>nik</t>
  </si>
  <si>
    <t>1999-12-03</t>
  </si>
  <si>
    <t>1996-04-15</t>
  </si>
  <si>
    <t>34336882:eng</t>
  </si>
  <si>
    <t>31409362</t>
  </si>
  <si>
    <t>991002412689702656</t>
  </si>
  <si>
    <t>2270527930002656</t>
  </si>
  <si>
    <t>9781859230855</t>
  </si>
  <si>
    <t>32285002152741</t>
  </si>
  <si>
    <t>893773597</t>
  </si>
  <si>
    <t>BV629 .W62213 1995</t>
  </si>
  <si>
    <t>0                      BV 0629000W  62213       1995</t>
  </si>
  <si>
    <t>A letter to the Friars Minor, and other writings / William of Ockham ; edited by Arthur Stephen McGrade and John Kilcullen ; translated by John Kilcullen.</t>
  </si>
  <si>
    <t>William, of Ockham, approximately 1285-approximately 1349.</t>
  </si>
  <si>
    <t>Cambridge [England] ; New York, NY, USA : Cambridge University Press, 1995.</t>
  </si>
  <si>
    <t>Cambridge texts in the history of political thought</t>
  </si>
  <si>
    <t>1998-04-15</t>
  </si>
  <si>
    <t>1998-03-31</t>
  </si>
  <si>
    <t>353971188:eng</t>
  </si>
  <si>
    <t>31608245</t>
  </si>
  <si>
    <t>991002426269702656</t>
  </si>
  <si>
    <t>2264395350002656</t>
  </si>
  <si>
    <t>9780521352437</t>
  </si>
  <si>
    <t>32285003382040</t>
  </si>
  <si>
    <t>893603590</t>
  </si>
  <si>
    <t>BV630 .E4 1957</t>
  </si>
  <si>
    <t>0                      BV 0630000E  4           1957</t>
  </si>
  <si>
    <t>Twenty centuries of church and state : a survey of their relations in past and present / by Sidney Z. Ehler.</t>
  </si>
  <si>
    <t>Ehler, Sidney Z.</t>
  </si>
  <si>
    <t>Westminster, Md. : Newman Press, c1957.</t>
  </si>
  <si>
    <t>A Newman paperback</t>
  </si>
  <si>
    <t>2005-04-27</t>
  </si>
  <si>
    <t>204508667:eng</t>
  </si>
  <si>
    <t>311614</t>
  </si>
  <si>
    <t>991002286389702656</t>
  </si>
  <si>
    <t>2272596510002656</t>
  </si>
  <si>
    <t>32285000903475</t>
  </si>
  <si>
    <t>893226662</t>
  </si>
  <si>
    <t>BV630 .L373 1956</t>
  </si>
  <si>
    <t>0                      BV 0630000L  373         1956</t>
  </si>
  <si>
    <t>La naissance de l'esprit laïque : au déclin du moyen âge.</t>
  </si>
  <si>
    <t>Lagarde, Georges de.</t>
  </si>
  <si>
    <t>Louvain : E. Nauwelaerts, 1956-1970.</t>
  </si>
  <si>
    <t>3. éd.</t>
  </si>
  <si>
    <t>1992-04-13</t>
  </si>
  <si>
    <t>350556237:fre</t>
  </si>
  <si>
    <t>2061648</t>
  </si>
  <si>
    <t>991003996149702656</t>
  </si>
  <si>
    <t>2261359530002656</t>
  </si>
  <si>
    <t>32285000903525</t>
  </si>
  <si>
    <t>893624215</t>
  </si>
  <si>
    <t>32285000903509</t>
  </si>
  <si>
    <t>893593140</t>
  </si>
  <si>
    <t>32285000903533</t>
  </si>
  <si>
    <t>893605512</t>
  </si>
  <si>
    <t>32285000903517</t>
  </si>
  <si>
    <t>893605513</t>
  </si>
  <si>
    <t>BV630 .R313 1992</t>
  </si>
  <si>
    <t>0                      BV 0630000R  313         1992</t>
  </si>
  <si>
    <t>Church and state in early Christianity / [edited by] Hugo Rahner ; translated by Leo Donald Davis.</t>
  </si>
  <si>
    <t>Rahner, Hugo, 1900-1968.</t>
  </si>
  <si>
    <t>San Francisco : Ignatius Press, c1992.</t>
  </si>
  <si>
    <t>1992-10-19</t>
  </si>
  <si>
    <t>1151618576:eng</t>
  </si>
  <si>
    <t>26082975</t>
  </si>
  <si>
    <t>991002043419702656</t>
  </si>
  <si>
    <t>2266931430002656</t>
  </si>
  <si>
    <t>9780898703771</t>
  </si>
  <si>
    <t>32285001318673</t>
  </si>
  <si>
    <t>893503956</t>
  </si>
  <si>
    <t>BV630.2 .B76 1986</t>
  </si>
  <si>
    <t>0                      BV 0630200B  76          1986</t>
  </si>
  <si>
    <t>Saying yes and saying no : on rendering to God and Caesar / Robert McAfee Brown.</t>
  </si>
  <si>
    <t>Philadelphia : Westminster Press, c1986.</t>
  </si>
  <si>
    <t>223871758:eng</t>
  </si>
  <si>
    <t>12977446</t>
  </si>
  <si>
    <t>991000763909702656</t>
  </si>
  <si>
    <t>2261322570002656</t>
  </si>
  <si>
    <t>9780664246952</t>
  </si>
  <si>
    <t>32285001604981</t>
  </si>
  <si>
    <t>893528371</t>
  </si>
  <si>
    <t>BV630.2 .C59 1987</t>
  </si>
  <si>
    <t>0                      BV 0630200C  59          1987</t>
  </si>
  <si>
    <t>Church-state relations : tensions and transitions / edited by Thomas Robbins and Roland Robertson.</t>
  </si>
  <si>
    <t>New Brunswick, N.J. : Transaction Books, c1987.</t>
  </si>
  <si>
    <t>889822349:eng</t>
  </si>
  <si>
    <t>13260131</t>
  </si>
  <si>
    <t>991000801929702656</t>
  </si>
  <si>
    <t>2265040220002656</t>
  </si>
  <si>
    <t>9780887386510</t>
  </si>
  <si>
    <t>32285000052356</t>
  </si>
  <si>
    <t>893444468</t>
  </si>
  <si>
    <t>BV630.2 .M595 1997</t>
  </si>
  <si>
    <t>0                      BV 0630200M  595         1997</t>
  </si>
  <si>
    <t>The challenge of pluralism : church and state in five democracies / Stephen V. Monsma, J. Christopher Soper.</t>
  </si>
  <si>
    <t>Monsma, Stephen V., 1936-</t>
  </si>
  <si>
    <t>Lanham, Md. : Rowman &amp; Littlefield, [1997?]</t>
  </si>
  <si>
    <t>Religious forces in the modern political world</t>
  </si>
  <si>
    <t>2001-11-29</t>
  </si>
  <si>
    <t>1998-01-22</t>
  </si>
  <si>
    <t>158808187:eng</t>
  </si>
  <si>
    <t>36557001</t>
  </si>
  <si>
    <t>991002784249702656</t>
  </si>
  <si>
    <t>2269173760002656</t>
  </si>
  <si>
    <t>9780847685684</t>
  </si>
  <si>
    <t>32285003310041</t>
  </si>
  <si>
    <t>893704517</t>
  </si>
  <si>
    <t>BV630.2 .S3</t>
  </si>
  <si>
    <t>0                      BV 0630200S  3</t>
  </si>
  <si>
    <t>Protestant concepts of church and state : historical backgrounds and approaches for the future / [by] Thomas G. Sanders.</t>
  </si>
  <si>
    <t>Sanders, Thomas G. (Thomas Griffin), 1932-</t>
  </si>
  <si>
    <t>New York, Holt, Reinhart and Winston [1964]</t>
  </si>
  <si>
    <t>Studies of church and state</t>
  </si>
  <si>
    <t>377956966:eng</t>
  </si>
  <si>
    <t>203624</t>
  </si>
  <si>
    <t>991001231229702656</t>
  </si>
  <si>
    <t>2256033820002656</t>
  </si>
  <si>
    <t>32285000903582</t>
  </si>
  <si>
    <t>893709108</t>
  </si>
  <si>
    <t>BV630.2 .W58 1968</t>
  </si>
  <si>
    <t>0                      BV 0630200W  58          1968</t>
  </si>
  <si>
    <t>Toward consensus : Catholic-Protestant interpretations of church and state / by Donald J. Wolf.</t>
  </si>
  <si>
    <t>Wolf, Donald J.</t>
  </si>
  <si>
    <t>Garden City, N.Y. : Anchor Books, 1968.</t>
  </si>
  <si>
    <t>294636944:eng</t>
  </si>
  <si>
    <t>438251</t>
  </si>
  <si>
    <t>991002774869702656</t>
  </si>
  <si>
    <t>2265213760002656</t>
  </si>
  <si>
    <t>32285000903608</t>
  </si>
  <si>
    <t>893511178</t>
  </si>
  <si>
    <t>BV630.3 .C47 2003</t>
  </si>
  <si>
    <t>0                      BV 0630300C  47          2003</t>
  </si>
  <si>
    <t>Church &amp; state : Lutheran perspectives / edited by John R. Stumme and Robert W. Tuttle.</t>
  </si>
  <si>
    <t>Minneapolis : Fortress Press, c2003.</t>
  </si>
  <si>
    <t>2006-10-17</t>
  </si>
  <si>
    <t>779565:eng</t>
  </si>
  <si>
    <t>51304143</t>
  </si>
  <si>
    <t>991004423049702656</t>
  </si>
  <si>
    <t>2255272600002656</t>
  </si>
  <si>
    <t>9780800636043</t>
  </si>
  <si>
    <t>32285005010706</t>
  </si>
  <si>
    <t>893810503</t>
  </si>
  <si>
    <t>BV631 .B47 1986</t>
  </si>
  <si>
    <t>0                      BV 0631000B  47          1986</t>
  </si>
  <si>
    <t>Between Christ and Caesar : classic and contemporary texts on church and state / [edited] by Charles Villa-Vicencio.</t>
  </si>
  <si>
    <t>Grand Rapids, Mich. : W.B. Eerdmans Pub. Co., 1986.</t>
  </si>
  <si>
    <t>55006535:eng</t>
  </si>
  <si>
    <t>16669392</t>
  </si>
  <si>
    <t>991001113029702656</t>
  </si>
  <si>
    <t>2264681800002656</t>
  </si>
  <si>
    <t>9780802802408</t>
  </si>
  <si>
    <t>32285000903616</t>
  </si>
  <si>
    <t>893413965</t>
  </si>
  <si>
    <t>BV637 .U734 1998</t>
  </si>
  <si>
    <t>0                      BV 0637000U  734         1998</t>
  </si>
  <si>
    <t>Urban theology : a reader / edited by Michael Northcott, for the Archbishop of Canterbury's Urban Theology Group.</t>
  </si>
  <si>
    <t>London ; Herndon, VA : Cassell, 1998.</t>
  </si>
  <si>
    <t>1999-01-07</t>
  </si>
  <si>
    <t>42072823:eng</t>
  </si>
  <si>
    <t>39441133</t>
  </si>
  <si>
    <t>991002955319702656</t>
  </si>
  <si>
    <t>2255798140002656</t>
  </si>
  <si>
    <t>9780304702657</t>
  </si>
  <si>
    <t>32285003510798</t>
  </si>
  <si>
    <t>893774224</t>
  </si>
  <si>
    <t>BV639.C4 E23 1993</t>
  </si>
  <si>
    <t>0                      BV 0639000C  4                  E  23          1993</t>
  </si>
  <si>
    <t>The church and childhood : papers read at the 1993 Summer Meeting and the 1994 Winter Meeting of the Ecclesiastical History Society / edited by Diana Wood.</t>
  </si>
  <si>
    <t>Ecclesiastical History Society. Summer Meeting (1993 : Manchester College, University of Oxford)</t>
  </si>
  <si>
    <t>Oxford, OX, UK ; Cambridge, Mass., USA : Published for the Ecclesiastical History Society by Blackwell Publishers, 1994.</t>
  </si>
  <si>
    <t>Studies in church history ; 31</t>
  </si>
  <si>
    <t>2004-11-12</t>
  </si>
  <si>
    <t>1996-09-25</t>
  </si>
  <si>
    <t>41254684:eng</t>
  </si>
  <si>
    <t>31883296</t>
  </si>
  <si>
    <t>991002444609702656</t>
  </si>
  <si>
    <t>2266521940002656</t>
  </si>
  <si>
    <t>9780631195863</t>
  </si>
  <si>
    <t>32285002319480</t>
  </si>
  <si>
    <t>893685366</t>
  </si>
  <si>
    <t>BV639.C4 G6 1968</t>
  </si>
  <si>
    <t>0                      BV 0639000C  4                  G  6           1968</t>
  </si>
  <si>
    <t>Religious thinking from childhood to adolescence / Ronald Goldman.</t>
  </si>
  <si>
    <t>Goldman, Ronald.</t>
  </si>
  <si>
    <t>New York, Seabury Press [c1964] 1968 printing.</t>
  </si>
  <si>
    <t>A Seabury paperback, SP 53</t>
  </si>
  <si>
    <t>1992-01-13</t>
  </si>
  <si>
    <t>176104:eng</t>
  </si>
  <si>
    <t>2377924</t>
  </si>
  <si>
    <t>991004104359702656</t>
  </si>
  <si>
    <t>2259780670002656</t>
  </si>
  <si>
    <t>9780816420612</t>
  </si>
  <si>
    <t>32285000903723</t>
  </si>
  <si>
    <t>893618236</t>
  </si>
  <si>
    <t>BV639.P6 G63 1985</t>
  </si>
  <si>
    <t>0                      BV 0639000P  6                  G  63          1985</t>
  </si>
  <si>
    <t>God and global justice : religion and poverty in an unequal world / edited by Frederick Ferré and Rita H. Mataragnon.</t>
  </si>
  <si>
    <t>New York : Paragon House, c1985.</t>
  </si>
  <si>
    <t>God, the contemporary discussion series</t>
  </si>
  <si>
    <t>2001-06-08</t>
  </si>
  <si>
    <t>429565803:eng</t>
  </si>
  <si>
    <t>11599065</t>
  </si>
  <si>
    <t>991000561959702656</t>
  </si>
  <si>
    <t>2261508970002656</t>
  </si>
  <si>
    <t>9780913757376</t>
  </si>
  <si>
    <t>32285000903756</t>
  </si>
  <si>
    <t>893796777</t>
  </si>
  <si>
    <t>BV639.P6 S46 1980</t>
  </si>
  <si>
    <t>0                      BV 0639000P  6                  S  46          1980</t>
  </si>
  <si>
    <t>Separation without hope? : Essays on the relation between the Church and the poor during the industrial revolution and the Western colonial expansion / [edited by Julio de Santa Ana].</t>
  </si>
  <si>
    <t>Maryknoll, N.Y. : Orbis Books, 1980, c1978.</t>
  </si>
  <si>
    <t>1998-03-29</t>
  </si>
  <si>
    <t>1067748252:eng</t>
  </si>
  <si>
    <t>6144158</t>
  </si>
  <si>
    <t>991004937629702656</t>
  </si>
  <si>
    <t>2260306710002656</t>
  </si>
  <si>
    <t>9780883444566</t>
  </si>
  <si>
    <t>32285000903798</t>
  </si>
  <si>
    <t>893344431</t>
  </si>
  <si>
    <t>BV639.W7 C33 1959</t>
  </si>
  <si>
    <t>0                      BV 0639000W  7                  C  33          1959</t>
  </si>
  <si>
    <t>The woman in the modern world / selected and arr. by the monks of Solesmes.</t>
  </si>
  <si>
    <t>Catholic Church. Pope.</t>
  </si>
  <si>
    <t>[Boston] : St. Paul Editions, [1959]</t>
  </si>
  <si>
    <t>Papal teachings</t>
  </si>
  <si>
    <t>1995-04-26</t>
  </si>
  <si>
    <t>1995-06-30</t>
  </si>
  <si>
    <t>2265564:eng</t>
  </si>
  <si>
    <t>1362224</t>
  </si>
  <si>
    <t>991003716739702656</t>
  </si>
  <si>
    <t>2258766560002656</t>
  </si>
  <si>
    <t>32285002021953</t>
  </si>
  <si>
    <t>893699317</t>
  </si>
  <si>
    <t>BV639.W7 D338 1993</t>
  </si>
  <si>
    <t>0                      BV 0639000W  7                  D  338         1993</t>
  </si>
  <si>
    <t>Religious impulse in selected autobiographies of American women (c. 1630-1893) : uses of the spirit / Phebe Davidson.</t>
  </si>
  <si>
    <t>Davidson, Phebe.</t>
  </si>
  <si>
    <t>Lewiston [NY] : E. Mellen Press, c1993.</t>
  </si>
  <si>
    <t>Studies in women and religion ; v. 33</t>
  </si>
  <si>
    <t>2010-11-14</t>
  </si>
  <si>
    <t>1998-12-15</t>
  </si>
  <si>
    <t>138734451:eng</t>
  </si>
  <si>
    <t>28634603</t>
  </si>
  <si>
    <t>991002223669702656</t>
  </si>
  <si>
    <t>2257407450002656</t>
  </si>
  <si>
    <t>9780773493544</t>
  </si>
  <si>
    <t>32285003506531</t>
  </si>
  <si>
    <t>893529686</t>
  </si>
  <si>
    <t>BV639.W7 D37 1990</t>
  </si>
  <si>
    <t>0                      BV 0639000W  7                  D  37          1990</t>
  </si>
  <si>
    <t>Ungodly women : gender and the first wave of American fundamentalism / Betty A. DeBerg.</t>
  </si>
  <si>
    <t>DeBerg, Betty A., 1953-</t>
  </si>
  <si>
    <t>1994-04-04</t>
  </si>
  <si>
    <t>22926099:eng</t>
  </si>
  <si>
    <t>21408042</t>
  </si>
  <si>
    <t>991001687049702656</t>
  </si>
  <si>
    <t>2270971910002656</t>
  </si>
  <si>
    <t>9780800624392</t>
  </si>
  <si>
    <t>32285000867324</t>
  </si>
  <si>
    <t>893879086</t>
  </si>
  <si>
    <t>BV639.W7 D86 1989</t>
  </si>
  <si>
    <t>0                      BV 0639000W  7                  D  86          1989</t>
  </si>
  <si>
    <t>Beyond servanthood : Christianity and the liberation of women / Susan Nelson Dunfee.</t>
  </si>
  <si>
    <t>Dunfee, Susan Nelson, 1947-</t>
  </si>
  <si>
    <t>Lanham : University Press of America, c1989.</t>
  </si>
  <si>
    <t>836704833:eng</t>
  </si>
  <si>
    <t>18521449</t>
  </si>
  <si>
    <t>991001361359702656</t>
  </si>
  <si>
    <t>2268197170002656</t>
  </si>
  <si>
    <t>9780819172242</t>
  </si>
  <si>
    <t>32285000869171</t>
  </si>
  <si>
    <t>893590220</t>
  </si>
  <si>
    <t>BV639.W7 F3 1950</t>
  </si>
  <si>
    <t>0                      BV 0639000W  7                  F  3           1950</t>
  </si>
  <si>
    <t>The destiny of modern woman, in the light of papal teaching / William B. Faherty.</t>
  </si>
  <si>
    <t>Faherty, William Barnaby, 1914-2011.</t>
  </si>
  <si>
    <t>1999-02-14</t>
  </si>
  <si>
    <t>1991-12-09</t>
  </si>
  <si>
    <t>2284925:eng</t>
  </si>
  <si>
    <t>1372026</t>
  </si>
  <si>
    <t>991003725379702656</t>
  </si>
  <si>
    <t>2260667780002656</t>
  </si>
  <si>
    <t>32285000829795</t>
  </si>
  <si>
    <t>893800073</t>
  </si>
  <si>
    <t>1995-03-21</t>
  </si>
  <si>
    <t>32285000903855</t>
  </si>
  <si>
    <t>893781317</t>
  </si>
  <si>
    <t>BV639.W7 H28 1972</t>
  </si>
  <si>
    <t>0                      BV 0639000W  7                  H  28          1972</t>
  </si>
  <si>
    <t>Women in church and society : a historical and theological inquiry / [by] Georgia Harkness.</t>
  </si>
  <si>
    <t>Harkness, Georgia Elma, 1891-1974.</t>
  </si>
  <si>
    <t>Nashville, Abingdon Press [1971, c1972]</t>
  </si>
  <si>
    <t>2001-04-07</t>
  </si>
  <si>
    <t>1385438:eng</t>
  </si>
  <si>
    <t>241094</t>
  </si>
  <si>
    <t>991001907689702656</t>
  </si>
  <si>
    <t>2269884650002656</t>
  </si>
  <si>
    <t>9780687459650</t>
  </si>
  <si>
    <t>32285000829787</t>
  </si>
  <si>
    <t>893503795</t>
  </si>
  <si>
    <t>BV639.W7 H47 1997</t>
  </si>
  <si>
    <t>0                      BV 0639000W  7                  H  47          1997</t>
  </si>
  <si>
    <t>Caretakers of our common house : women's development in communities of faith / Carol Lakey Hess.</t>
  </si>
  <si>
    <t>Hess, Carol Lakey, 1957-</t>
  </si>
  <si>
    <t>Nashville, TN : Abingdon Press, c1997.</t>
  </si>
  <si>
    <t>2008-09-22</t>
  </si>
  <si>
    <t>475168851:eng</t>
  </si>
  <si>
    <t>37268239</t>
  </si>
  <si>
    <t>991002830619702656</t>
  </si>
  <si>
    <t>2268793510002656</t>
  </si>
  <si>
    <t>9780687009633</t>
  </si>
  <si>
    <t>32285003505046</t>
  </si>
  <si>
    <t>893511251</t>
  </si>
  <si>
    <t>BV639.W7 M63 1973</t>
  </si>
  <si>
    <t>0                      BV 0639000W  7                  M  63          1973</t>
  </si>
  <si>
    <t>The lady was a bishop : the hidden history of women with clerical ordination and the jurisdiction of bishops / Joan Morris.</t>
  </si>
  <si>
    <t>Morris, Joan.</t>
  </si>
  <si>
    <t>New York : Macmillan, [1973]</t>
  </si>
  <si>
    <t>2002-07-30</t>
  </si>
  <si>
    <t>1705424:eng</t>
  </si>
  <si>
    <t>623425</t>
  </si>
  <si>
    <t>991003068379702656</t>
  </si>
  <si>
    <t>2255709120002656</t>
  </si>
  <si>
    <t>32285000903871</t>
  </si>
  <si>
    <t>893428409</t>
  </si>
  <si>
    <t>BV639.W7 O636 1987</t>
  </si>
  <si>
    <t>0                      BV 0639000W  7                  O  636         1987</t>
  </si>
  <si>
    <t>Opening the cage : stories of church and gender / edited by Margaret Ann Franklin and Ruth Sturmey Jones.</t>
  </si>
  <si>
    <t>Sydney, N.S.W., Australia ; Boston, MA : Allen &amp; Unwin, 1987.</t>
  </si>
  <si>
    <t>2002-04-27</t>
  </si>
  <si>
    <t>796530242:eng</t>
  </si>
  <si>
    <t>28992452</t>
  </si>
  <si>
    <t>991001163349702656</t>
  </si>
  <si>
    <t>2264327130002656</t>
  </si>
  <si>
    <t>9780042000466</t>
  </si>
  <si>
    <t>32285000903897</t>
  </si>
  <si>
    <t>893803399</t>
  </si>
  <si>
    <t>BV639.Y7 B4</t>
  </si>
  <si>
    <t>0                      BV 0639000Y  7                  B  4</t>
  </si>
  <si>
    <t>The now generation / [by] Dennis C. Benson.</t>
  </si>
  <si>
    <t>Benson, Dennis C.</t>
  </si>
  <si>
    <t>Richmond, John Knox Press [1969]</t>
  </si>
  <si>
    <t>1998-02-11</t>
  </si>
  <si>
    <t>1386522:eng</t>
  </si>
  <si>
    <t>316093</t>
  </si>
  <si>
    <t>991002296829702656</t>
  </si>
  <si>
    <t>2269682190002656</t>
  </si>
  <si>
    <t>9780804219792</t>
  </si>
  <si>
    <t>32285000903921</t>
  </si>
  <si>
    <t>893251049</t>
  </si>
  <si>
    <t>BV647.3 .C66 2002</t>
  </si>
  <si>
    <t>0                      BV 0647300C  66          2002</t>
  </si>
  <si>
    <t>Community formation in the early church and in the church today / Richard N. Longenecker, editor.</t>
  </si>
  <si>
    <t>Peabody, Mass. : Hendrickson Publishers, c2002.</t>
  </si>
  <si>
    <t>2004-02-03</t>
  </si>
  <si>
    <t>778316:eng</t>
  </si>
  <si>
    <t>50802620</t>
  </si>
  <si>
    <t>991004217569702656</t>
  </si>
  <si>
    <t>2270278730002656</t>
  </si>
  <si>
    <t>9781565637184</t>
  </si>
  <si>
    <t>32285004637277</t>
  </si>
  <si>
    <t>893875830</t>
  </si>
  <si>
    <t>BV648 .D58</t>
  </si>
  <si>
    <t>0                      BV 0648000D  58</t>
  </si>
  <si>
    <t>Jurisdiction in the early church, Episcopal and papal / Dom Gregory Dix.</t>
  </si>
  <si>
    <t>London : Faith House, 1975, c1938.</t>
  </si>
  <si>
    <t>1997-01-24</t>
  </si>
  <si>
    <t>5502065:eng</t>
  </si>
  <si>
    <t>2894825</t>
  </si>
  <si>
    <t>991004276499702656</t>
  </si>
  <si>
    <t>2269283970002656</t>
  </si>
  <si>
    <t>32285000903947</t>
  </si>
  <si>
    <t>893442423</t>
  </si>
  <si>
    <t>BV648 .H32</t>
  </si>
  <si>
    <t>0                      BV 0648000H  32</t>
  </si>
  <si>
    <t>The constitution &amp; law of the church in the first two centuries / by Adolf Harnack ; translated by F. L. Pogson, M. A. Edited by H. D. A. Major.</t>
  </si>
  <si>
    <t>Harnack, Adolf von, 1851-1930.</t>
  </si>
  <si>
    <t>London, Williams &amp; Norgate; New York, G. P. Putnam's sons, 1910.</t>
  </si>
  <si>
    <t>Crown theological library, vol. XXXI</t>
  </si>
  <si>
    <t>2006-11-16</t>
  </si>
  <si>
    <t>2908427211:eng</t>
  </si>
  <si>
    <t>2422335</t>
  </si>
  <si>
    <t>991004118179702656</t>
  </si>
  <si>
    <t>2266119990002656</t>
  </si>
  <si>
    <t>32285000903954</t>
  </si>
  <si>
    <t>893599454</t>
  </si>
  <si>
    <t>BV648 .H64 1980</t>
  </si>
  <si>
    <t>0                      BV 0648000H  64          1980</t>
  </si>
  <si>
    <t>Paul and power : the structure of authority in the primitive church as reflected in the Pauline epistles / Bengt Holmberg.</t>
  </si>
  <si>
    <t>Holmberg, Bengt, 1942-</t>
  </si>
  <si>
    <t>Philadelphia : Fortress Press, 1980, c1978.</t>
  </si>
  <si>
    <t>1998-08-31</t>
  </si>
  <si>
    <t>5576446308:eng</t>
  </si>
  <si>
    <t>5892503</t>
  </si>
  <si>
    <t>991004894819702656</t>
  </si>
  <si>
    <t>2265543080002656</t>
  </si>
  <si>
    <t>9780800606343</t>
  </si>
  <si>
    <t>32285000903962</t>
  </si>
  <si>
    <t>893883077</t>
  </si>
  <si>
    <t>BV648 .M6</t>
  </si>
  <si>
    <t>0                      BV 0648000M  6</t>
  </si>
  <si>
    <t>The origin and evolution of the priesthood : a return to the sources / [by] James A. Mohler.</t>
  </si>
  <si>
    <t>Mohler, James A.</t>
  </si>
  <si>
    <t>Staten Island, N.Y., Alba House [1970]</t>
  </si>
  <si>
    <t>422315314:eng</t>
  </si>
  <si>
    <t>72777</t>
  </si>
  <si>
    <t>991000390229702656</t>
  </si>
  <si>
    <t>2271646340002656</t>
  </si>
  <si>
    <t>9780818901669</t>
  </si>
  <si>
    <t>32285000166388</t>
  </si>
  <si>
    <t>893796597</t>
  </si>
  <si>
    <t>BV649 .H78 1965</t>
  </si>
  <si>
    <t>0                      BV 0649000H  78          1965</t>
  </si>
  <si>
    <t>Of the laws of ecclesiastical polity / by Richard Hooker.</t>
  </si>
  <si>
    <t>Hooker, Richard, 1553 or 1554-1600.</t>
  </si>
  <si>
    <t>London : J. M. Dent &amp; sons, ltd. ; New York : E. P. Dutton &amp; co., [1965,6̓4]</t>
  </si>
  <si>
    <t>Everyman's library. Theology &amp; philosophy ; no. 201-202</t>
  </si>
  <si>
    <t>2000-01-24</t>
  </si>
  <si>
    <t>1992-04-27</t>
  </si>
  <si>
    <t>5342691608:eng</t>
  </si>
  <si>
    <t>6053614</t>
  </si>
  <si>
    <t>991004922089702656</t>
  </si>
  <si>
    <t>2254933800002656</t>
  </si>
  <si>
    <t>32285001101236</t>
  </si>
  <si>
    <t>893688362</t>
  </si>
  <si>
    <t>32285001101244</t>
  </si>
  <si>
    <t>893719558</t>
  </si>
  <si>
    <t>BV649 .H825 1989</t>
  </si>
  <si>
    <t>0                      BV 0649000H  825         1989</t>
  </si>
  <si>
    <t>Of the laws of ecclesiastical polity : preface, book I, book VIII / Richard Hooker ; edited by Arthur Stephen McGrade.</t>
  </si>
  <si>
    <t>Cambridge [England] ; New York : Cambridge University Press, 1989.</t>
  </si>
  <si>
    <t>2002-03-10</t>
  </si>
  <si>
    <t>1992-07-09</t>
  </si>
  <si>
    <t>3313746844:eng</t>
  </si>
  <si>
    <t>18739233</t>
  </si>
  <si>
    <t>991001387319702656</t>
  </si>
  <si>
    <t>2261561450002656</t>
  </si>
  <si>
    <t>9780521379083</t>
  </si>
  <si>
    <t>32285001158053</t>
  </si>
  <si>
    <t>893690585</t>
  </si>
  <si>
    <t>BV649.H9 D5</t>
  </si>
  <si>
    <t>0                      BV 0649000H  9                  D  5</t>
  </si>
  <si>
    <t>A critical analysis of Richard Hooker's theory of the relation of church and state / Cletus F. Dirksen.</t>
  </si>
  <si>
    <t>Dirksen, Cletus Francis, 1907-</t>
  </si>
  <si>
    <t>Notre Dame, Ind., Dept. of Political Science [University of Notre Dame] 1947.</t>
  </si>
  <si>
    <t>423341523:eng</t>
  </si>
  <si>
    <t>1393955</t>
  </si>
  <si>
    <t>991003736779702656</t>
  </si>
  <si>
    <t>2261188960002656</t>
  </si>
  <si>
    <t>32285000904036</t>
  </si>
  <si>
    <t>893416732</t>
  </si>
  <si>
    <t>BV652 .C16 2003</t>
  </si>
  <si>
    <t>0                      BV 0652000C  16          2003</t>
  </si>
  <si>
    <t>Projects that matter : successful planning &amp; evaluation for religious organizations / Kathleen A. Calahan ; [foreword by Craig Dykstra].</t>
  </si>
  <si>
    <t>Cahalan, Kathleen A.</t>
  </si>
  <si>
    <t>Bethesda, MD : Alban Institute, 2003.</t>
  </si>
  <si>
    <t>2009-04-09</t>
  </si>
  <si>
    <t>779459:eng</t>
  </si>
  <si>
    <t>52802475</t>
  </si>
  <si>
    <t>991004741379702656</t>
  </si>
  <si>
    <t>2262777200002656</t>
  </si>
  <si>
    <t>9781566992763</t>
  </si>
  <si>
    <t>32285005163158</t>
  </si>
  <si>
    <t>893694261</t>
  </si>
  <si>
    <t>BV652 .L55 1965</t>
  </si>
  <si>
    <t>0                      BV 0652000L  55          1965</t>
  </si>
  <si>
    <t>Foundations for purposeful church administration / [by] Alvin J. Lindgren.</t>
  </si>
  <si>
    <t>Lindgren, Alvin J.</t>
  </si>
  <si>
    <t>New York : Abingdon Press, [1965]</t>
  </si>
  <si>
    <t>2010-07-12</t>
  </si>
  <si>
    <t>434323:eng</t>
  </si>
  <si>
    <t>996169</t>
  </si>
  <si>
    <t>991000022139702656</t>
  </si>
  <si>
    <t>2270935830002656</t>
  </si>
  <si>
    <t>32285005589865</t>
  </si>
  <si>
    <t>893589033</t>
  </si>
  <si>
    <t>BV652 .W555 1983</t>
  </si>
  <si>
    <t>0                      BV 0652000W  555         1983</t>
  </si>
  <si>
    <t>How to mobilize church volunteers / Marlene Wilson.</t>
  </si>
  <si>
    <t>Wilson, Marlene.</t>
  </si>
  <si>
    <t>Minneapolis : Augsburg Pub. House, c1983.</t>
  </si>
  <si>
    <t>2894605081:eng</t>
  </si>
  <si>
    <t>10150147</t>
  </si>
  <si>
    <t>991000017299702656</t>
  </si>
  <si>
    <t>2268142040002656</t>
  </si>
  <si>
    <t>9780806620121</t>
  </si>
  <si>
    <t>32285005589485</t>
  </si>
  <si>
    <t>893339190</t>
  </si>
  <si>
    <t>BV652.1 .H23</t>
  </si>
  <si>
    <t>0                      BV 0652100H  23</t>
  </si>
  <si>
    <t>The personal discernment inventory : an instrument for spiritual guides / Brian P. Hall.</t>
  </si>
  <si>
    <t>Hall, Brian P.</t>
  </si>
  <si>
    <t>23087397:eng</t>
  </si>
  <si>
    <t>6627914</t>
  </si>
  <si>
    <t>991005017829702656</t>
  </si>
  <si>
    <t>2255229460002656</t>
  </si>
  <si>
    <t>9780809123124</t>
  </si>
  <si>
    <t>32285000904051</t>
  </si>
  <si>
    <t>893350587</t>
  </si>
  <si>
    <t>BV652.1 .H235 1982</t>
  </si>
  <si>
    <t>0                      BV 0652100H  235         1982</t>
  </si>
  <si>
    <t>Shepherds and lovers : a guide to spiritual leadership and Christian ministry / by Brian P. Hall.</t>
  </si>
  <si>
    <t>32476088:eng</t>
  </si>
  <si>
    <t>8668359</t>
  </si>
  <si>
    <t>991000045329702656</t>
  </si>
  <si>
    <t>2270218550002656</t>
  </si>
  <si>
    <t>9780809124251</t>
  </si>
  <si>
    <t>32285000904069</t>
  </si>
  <si>
    <t>893406880</t>
  </si>
  <si>
    <t>BV652.1 .M433 2000</t>
  </si>
  <si>
    <t>0                      BV 0652100M  433         2000</t>
  </si>
  <si>
    <t>A work of heart : understanding how God shapes spiritual leaders / Reggie McNeal.</t>
  </si>
  <si>
    <t>McNeal, Reggie.</t>
  </si>
  <si>
    <t>2010-04-01</t>
  </si>
  <si>
    <t>2005-04-21</t>
  </si>
  <si>
    <t>796415491:eng</t>
  </si>
  <si>
    <t>42923488</t>
  </si>
  <si>
    <t>991004521099702656</t>
  </si>
  <si>
    <t>2257538220002656</t>
  </si>
  <si>
    <t>9780787942885</t>
  </si>
  <si>
    <t>32285005032411</t>
  </si>
  <si>
    <t>893901319</t>
  </si>
  <si>
    <t>BV652.1 .S58 1997</t>
  </si>
  <si>
    <t>0                      BV 0652100S  58          1997</t>
  </si>
  <si>
    <t>Servanthood : leadership for the third millennium / Bennett J. Sims.</t>
  </si>
  <si>
    <t>Sims, Bennett J., 1920-</t>
  </si>
  <si>
    <t>Cambridge, Mass. : Cowley Publications, c1997.</t>
  </si>
  <si>
    <t>318889738:eng</t>
  </si>
  <si>
    <t>37024756</t>
  </si>
  <si>
    <t>991004793749702656</t>
  </si>
  <si>
    <t>2269082040002656</t>
  </si>
  <si>
    <t>9781561011452</t>
  </si>
  <si>
    <t>32285005182406</t>
  </si>
  <si>
    <t>893776457</t>
  </si>
  <si>
    <t>BV652.1 .S65 1995</t>
  </si>
  <si>
    <t>0                      BV 0652100S  65          1995</t>
  </si>
  <si>
    <t>The collaborative leader : listening to the wisdom of God's people / Loughlan Sofield, Donald H. Kuhn ; foreword by Dolores Leckey.</t>
  </si>
  <si>
    <t>Sofield, Loughlan.</t>
  </si>
  <si>
    <t>Notre Dame, Ind. : Ave Maria Press, c1995.</t>
  </si>
  <si>
    <t>1998-03-06</t>
  </si>
  <si>
    <t>1995-05-23</t>
  </si>
  <si>
    <t>34041866:eng</t>
  </si>
  <si>
    <t>32355245</t>
  </si>
  <si>
    <t>991002487049702656</t>
  </si>
  <si>
    <t>2270738060002656</t>
  </si>
  <si>
    <t>9780877935445</t>
  </si>
  <si>
    <t>32285002046505</t>
  </si>
  <si>
    <t>893239118</t>
  </si>
  <si>
    <t>BV652.1 .S93 1986</t>
  </si>
  <si>
    <t>0                      BV 0652100S  93          1986</t>
  </si>
  <si>
    <t>Liberating leadership : practical styles for pastoral ministry / Bernard F. Swain in collaboration with Patricia Dunn, James Gorman, William Kondrath.</t>
  </si>
  <si>
    <t>Swain, Bernard F.</t>
  </si>
  <si>
    <t>7978649:eng</t>
  </si>
  <si>
    <t>13796447</t>
  </si>
  <si>
    <t>991005232419702656</t>
  </si>
  <si>
    <t>2270559260002656</t>
  </si>
  <si>
    <t>9780866834834</t>
  </si>
  <si>
    <t>32285005443857</t>
  </si>
  <si>
    <t>893248586</t>
  </si>
  <si>
    <t>BV652.2 .F37 1996</t>
  </si>
  <si>
    <t>0                      BV 0652200F  37          1996</t>
  </si>
  <si>
    <t>Grounded in God : listening hearts discernment for group deliberations / Suzanne G. Farnham, Stephanie A. Hull, R. Taylor McLean.</t>
  </si>
  <si>
    <t>Farnham, Suzanne G.</t>
  </si>
  <si>
    <t>Harrisburg,Pa. : Morehouse Pub., c1996.</t>
  </si>
  <si>
    <t>2004-07-08</t>
  </si>
  <si>
    <t>27429643:eng</t>
  </si>
  <si>
    <t>34775972</t>
  </si>
  <si>
    <t>991002660789702656</t>
  </si>
  <si>
    <t>2260676850002656</t>
  </si>
  <si>
    <t>9780819216731</t>
  </si>
  <si>
    <t>32285002478617</t>
  </si>
  <si>
    <t>893899042</t>
  </si>
  <si>
    <t>BV652.2 .M24 1987</t>
  </si>
  <si>
    <t>0                      BV 0652200M  24          1987</t>
  </si>
  <si>
    <t>Sharing wisdom : a process for group decision making : a guide to being and building church / Mary Benet McKinney.</t>
  </si>
  <si>
    <t>McKinney, Mary Benet.</t>
  </si>
  <si>
    <t>Allen, TX : Tabor Pub., c1987.</t>
  </si>
  <si>
    <t>8259547:eng</t>
  </si>
  <si>
    <t>15154645</t>
  </si>
  <si>
    <t>991004529459702656</t>
  </si>
  <si>
    <t>2268323650002656</t>
  </si>
  <si>
    <t>9780895054494</t>
  </si>
  <si>
    <t>32285005030506</t>
  </si>
  <si>
    <t>893719040</t>
  </si>
  <si>
    <t>BV652.25 .C478 1993</t>
  </si>
  <si>
    <t>0                      BV 0652250C  478         1993</t>
  </si>
  <si>
    <t>Church and denominational growth / [edited by] David A. Roozen, C. Kirk Hadaway.</t>
  </si>
  <si>
    <t>Nashville : Abingdon Press, c1993.</t>
  </si>
  <si>
    <t>1996-06-06</t>
  </si>
  <si>
    <t>1995-03-19</t>
  </si>
  <si>
    <t>347324:eng</t>
  </si>
  <si>
    <t>27727898</t>
  </si>
  <si>
    <t>991002152399702656</t>
  </si>
  <si>
    <t>2264450080002656</t>
  </si>
  <si>
    <t>9780687159048</t>
  </si>
  <si>
    <t>32285002002391</t>
  </si>
  <si>
    <t>893408751</t>
  </si>
  <si>
    <t>BV652.9 .B67</t>
  </si>
  <si>
    <t>0                      BV 0652900B  67</t>
  </si>
  <si>
    <t>Creative conflict in religious education and church administration / Donald E. Bossart.</t>
  </si>
  <si>
    <t>Bossart, Donald E.</t>
  </si>
  <si>
    <t>Birmingham, Ala. : Religious Education Press, [1980]</t>
  </si>
  <si>
    <t>1998-11-29</t>
  </si>
  <si>
    <t>548258:eng</t>
  </si>
  <si>
    <t>6143877</t>
  </si>
  <si>
    <t>991004936979702656</t>
  </si>
  <si>
    <t>2259979980002656</t>
  </si>
  <si>
    <t>9780891350484</t>
  </si>
  <si>
    <t>32285000904101</t>
  </si>
  <si>
    <t>893905128</t>
  </si>
  <si>
    <t>BV652.9 .C665 2006</t>
  </si>
  <si>
    <t>0                      BV 0652900C  665         2006</t>
  </si>
  <si>
    <t>Willing the good : Jesus, dissent, and desire / by Paula M. Cooey.</t>
  </si>
  <si>
    <t>Cooey, Paula M., 1945-</t>
  </si>
  <si>
    <t>Minneapolis, MN : Augsburg Fortress, 2006.</t>
  </si>
  <si>
    <t>499921911:eng</t>
  </si>
  <si>
    <t>65425851</t>
  </si>
  <si>
    <t>991005148449702656</t>
  </si>
  <si>
    <t>2255899340002656</t>
  </si>
  <si>
    <t>9780800636647</t>
  </si>
  <si>
    <t>32285005369649</t>
  </si>
  <si>
    <t>893606911</t>
  </si>
  <si>
    <t>BV652.9 .R36 1988</t>
  </si>
  <si>
    <t>0                      BV 0652900R  36          1988</t>
  </si>
  <si>
    <t>Pastor and parish : the psychological core of ecclesiastical conflicts / Robert L. Randall.</t>
  </si>
  <si>
    <t>Randall, Robert L., 1942-</t>
  </si>
  <si>
    <t>New York, N.Y. : Human Sciences Press, c1988.</t>
  </si>
  <si>
    <t>8583580:eng</t>
  </si>
  <si>
    <t>14719676</t>
  </si>
  <si>
    <t>991000957439702656</t>
  </si>
  <si>
    <t>2254874920002656</t>
  </si>
  <si>
    <t>9780898853483</t>
  </si>
  <si>
    <t>32285000236801</t>
  </si>
  <si>
    <t>893589898</t>
  </si>
  <si>
    <t>BV652.95 .A53 2000</t>
  </si>
  <si>
    <t>0                      BV 0652950A  53          2000</t>
  </si>
  <si>
    <t>Screen saved : peril and promise of media in ministry / by Dan Andriacco.</t>
  </si>
  <si>
    <t>Andriacco, Dan.</t>
  </si>
  <si>
    <t>Cincinnati, Ohio : St. Anthony Messenger Press, c2000.</t>
  </si>
  <si>
    <t>372579664:eng</t>
  </si>
  <si>
    <t>46354634</t>
  </si>
  <si>
    <t>991003527369702656</t>
  </si>
  <si>
    <t>2263770780002656</t>
  </si>
  <si>
    <t>9780867164183</t>
  </si>
  <si>
    <t>32285004313721</t>
  </si>
  <si>
    <t>893524899</t>
  </si>
  <si>
    <t>BV652.95 .B33 1984</t>
  </si>
  <si>
    <t>0                      BV 0652950B  33          1984</t>
  </si>
  <si>
    <t>Media--wasteland or wonderland : opportunities and dangers for Christians in the electronic age / John W. Bachman ; foreword by Martin E. Marty.</t>
  </si>
  <si>
    <t>Bachman, John W.</t>
  </si>
  <si>
    <t>Minneapolis : Augsburg Pub. House, c1984.</t>
  </si>
  <si>
    <t>1998-10-18</t>
  </si>
  <si>
    <t>373971911:eng</t>
  </si>
  <si>
    <t>11444108</t>
  </si>
  <si>
    <t>991000535189702656</t>
  </si>
  <si>
    <t>2260148370002656</t>
  </si>
  <si>
    <t>9780806621166</t>
  </si>
  <si>
    <t>32285000904127</t>
  </si>
  <si>
    <t>893620562</t>
  </si>
  <si>
    <t>BV652.95 .C365 1984</t>
  </si>
  <si>
    <t>0                      BV 0652950C  365         1984</t>
  </si>
  <si>
    <t>Mass media Christianity : televangelism and the great commission / by Jerry D. Cardwell ; with contributions by Jack L. Thorpe ; afterword by John Loving.</t>
  </si>
  <si>
    <t>Cardwell, J. D. (Jerry Delmas)</t>
  </si>
  <si>
    <t>Lanham, MD : University Press of America, c1984.</t>
  </si>
  <si>
    <t>859140391:eng</t>
  </si>
  <si>
    <t>11114642</t>
  </si>
  <si>
    <t>991000493379702656</t>
  </si>
  <si>
    <t>2258762500002656</t>
  </si>
  <si>
    <t>9780819143242</t>
  </si>
  <si>
    <t>32285000904135</t>
  </si>
  <si>
    <t>893589495</t>
  </si>
  <si>
    <t>BV652.95 .I5 1986</t>
  </si>
  <si>
    <t>0                      BV 0652950I  5           1986</t>
  </si>
  <si>
    <t>In the sight of all : communications, a vision all can share / Administrative Board, United States Catholic Conference ; design by Monika Rokus ; computer graphics by Robert Pulgino.</t>
  </si>
  <si>
    <t>Washington, D.C. : Office of Publishing and Promotion Services, United States Catholic Conference, c1986.</t>
  </si>
  <si>
    <t>Publication / United States Catholic Conference. Office of Publishing and Promotion Services ; no. 118</t>
  </si>
  <si>
    <t>9064127:eng</t>
  </si>
  <si>
    <t>14984914</t>
  </si>
  <si>
    <t>991000974099702656</t>
  </si>
  <si>
    <t>2270821170002656</t>
  </si>
  <si>
    <t>32285000904150</t>
  </si>
  <si>
    <t>893797181</t>
  </si>
  <si>
    <t>BV656 .A75 1979</t>
  </si>
  <si>
    <t>0                      BV 0656000A  75          1979</t>
  </si>
  <si>
    <t>The electric church / by Ben Armstrong.</t>
  </si>
  <si>
    <t>Armstrong, Ben.</t>
  </si>
  <si>
    <t>Nashville : T. Nelson, c1979.</t>
  </si>
  <si>
    <t>1996-03-03</t>
  </si>
  <si>
    <t>1990-11-20</t>
  </si>
  <si>
    <t>3858570089:eng</t>
  </si>
  <si>
    <t>4593116</t>
  </si>
  <si>
    <t>991004686279702656</t>
  </si>
  <si>
    <t>2271091630002656</t>
  </si>
  <si>
    <t>9780840751577</t>
  </si>
  <si>
    <t>32285000297159</t>
  </si>
  <si>
    <t>893507118</t>
  </si>
  <si>
    <t>BV656 .M365 1995</t>
  </si>
  <si>
    <t>0                      BV 0656000M  365         1995</t>
  </si>
  <si>
    <t>Vatican Radio : propagation by the airwaves / Marilyn J. Matelski.</t>
  </si>
  <si>
    <t>Matelski, Marilyn J., 1950-</t>
  </si>
  <si>
    <t>Westport, Conn. : Praeger, 1995.</t>
  </si>
  <si>
    <t>Media and society series, 0890-7161</t>
  </si>
  <si>
    <t>1998-11-10</t>
  </si>
  <si>
    <t>2573128:eng</t>
  </si>
  <si>
    <t>30892540</t>
  </si>
  <si>
    <t>991002373689702656</t>
  </si>
  <si>
    <t>2270202310002656</t>
  </si>
  <si>
    <t>9780275947606</t>
  </si>
  <si>
    <t>32285002412145</t>
  </si>
  <si>
    <t>893433803</t>
  </si>
  <si>
    <t>BV656.3 .B55</t>
  </si>
  <si>
    <t>0                      BV 0656300B  55</t>
  </si>
  <si>
    <t>Religious television programs : a study of relevance / by A. William Bluem.</t>
  </si>
  <si>
    <t>Bluem, A. William.</t>
  </si>
  <si>
    <t>New York, Hastings House [1969]</t>
  </si>
  <si>
    <t>Communication arts books</t>
  </si>
  <si>
    <t>1133923:eng</t>
  </si>
  <si>
    <t>10830</t>
  </si>
  <si>
    <t>991000001979702656</t>
  </si>
  <si>
    <t>2268024730002656</t>
  </si>
  <si>
    <t>9780803862982</t>
  </si>
  <si>
    <t>32285000904192</t>
  </si>
  <si>
    <t>893514897</t>
  </si>
  <si>
    <t>BV656.3 .E49 1987</t>
  </si>
  <si>
    <t>0                      BV 0656300E  49          1987</t>
  </si>
  <si>
    <t>Buying time : the foundations of the electronic Church / Peter Elvy.</t>
  </si>
  <si>
    <t>Elvy, Peter.</t>
  </si>
  <si>
    <t>Mystic, Conn. : Twenty-third Publications, 1987.</t>
  </si>
  <si>
    <t>2009-09-23</t>
  </si>
  <si>
    <t>836674303:eng</t>
  </si>
  <si>
    <t>15795293</t>
  </si>
  <si>
    <t>991001066889702656</t>
  </si>
  <si>
    <t>2261901720002656</t>
  </si>
  <si>
    <t>9780896223257</t>
  </si>
  <si>
    <t>32285000236819</t>
  </si>
  <si>
    <t>893255977</t>
  </si>
  <si>
    <t>BV656.3 .H66 1988</t>
  </si>
  <si>
    <t>0                      BV 0656300H  66          1988</t>
  </si>
  <si>
    <t>Mass media religion : the social sources of the electronic church / Stewart M. Hoover.</t>
  </si>
  <si>
    <t>Hoover, Stewart M.</t>
  </si>
  <si>
    <t>Newbury Park, Calif. : Sage Publications, c1988.</t>
  </si>
  <si>
    <t>Communication and human values</t>
  </si>
  <si>
    <t>1989-12-18</t>
  </si>
  <si>
    <t>836756547:eng</t>
  </si>
  <si>
    <t>17413536</t>
  </si>
  <si>
    <t>991001215299702656</t>
  </si>
  <si>
    <t>2265163190002656</t>
  </si>
  <si>
    <t>9780803929951</t>
  </si>
  <si>
    <t>32285000018415</t>
  </si>
  <si>
    <t>893346339</t>
  </si>
  <si>
    <t>BV656.3 .H67 1984</t>
  </si>
  <si>
    <t>0                      BV 0656300H  67          1984</t>
  </si>
  <si>
    <t>Religious television : the American experience / Peter G. Horsfield.</t>
  </si>
  <si>
    <t>Horsfield, Peter G.</t>
  </si>
  <si>
    <t>New York : Longman, c1984.</t>
  </si>
  <si>
    <t>1994-04-05</t>
  </si>
  <si>
    <t>308724279:eng</t>
  </si>
  <si>
    <t>9620094</t>
  </si>
  <si>
    <t>991000226349702656</t>
  </si>
  <si>
    <t>2270320490002656</t>
  </si>
  <si>
    <t>9780582284326</t>
  </si>
  <si>
    <t>32285000904226</t>
  </si>
  <si>
    <t>893431800</t>
  </si>
  <si>
    <t>BV656.3 .R42 1990</t>
  </si>
  <si>
    <t>0                      BV 0656300R  42          1990</t>
  </si>
  <si>
    <t>Religious television : controversies and conclusions / edited by Robert Abelman, Stewart M. Hoover.</t>
  </si>
  <si>
    <t>Norwood, N.J. : Ablex Pub. Corp., c1990.</t>
  </si>
  <si>
    <t>Communication and information science</t>
  </si>
  <si>
    <t>1991-09-17</t>
  </si>
  <si>
    <t>889544588:eng</t>
  </si>
  <si>
    <t>20893285</t>
  </si>
  <si>
    <t>991001629289702656</t>
  </si>
  <si>
    <t>2265672410002656</t>
  </si>
  <si>
    <t>9780893916442</t>
  </si>
  <si>
    <t>32285000703743</t>
  </si>
  <si>
    <t>893328239</t>
  </si>
  <si>
    <t>BV660.2 .C38 1986</t>
  </si>
  <si>
    <t>0                      BV 0660200C  38          1986</t>
  </si>
  <si>
    <t>The effective minister : psychological and social considerations / Michael E. Cavanagh.</t>
  </si>
  <si>
    <t>Cavanagh, Michael E.</t>
  </si>
  <si>
    <t>1994-08-31</t>
  </si>
  <si>
    <t>7891275:eng</t>
  </si>
  <si>
    <t>13793741</t>
  </si>
  <si>
    <t>991000872339702656</t>
  </si>
  <si>
    <t>2272161320002656</t>
  </si>
  <si>
    <t>9780062542106</t>
  </si>
  <si>
    <t>32285000031095</t>
  </si>
  <si>
    <t>893315316</t>
  </si>
  <si>
    <t>BV660.2 .H3158 1984</t>
  </si>
  <si>
    <t>0                      BV 0660200H  3158        1984</t>
  </si>
  <si>
    <t>Pastor as person / Gary L. Harbaugh.</t>
  </si>
  <si>
    <t>Harbaugh, Gary L., 1936-</t>
  </si>
  <si>
    <t>2002-09-02</t>
  </si>
  <si>
    <t>3895879:eng</t>
  </si>
  <si>
    <t>11370834</t>
  </si>
  <si>
    <t>991003851989702656</t>
  </si>
  <si>
    <t>2259949550002656</t>
  </si>
  <si>
    <t>9780806621159</t>
  </si>
  <si>
    <t>32285004641964</t>
  </si>
  <si>
    <t>893806308</t>
  </si>
  <si>
    <t>BV660.2 .M4 1985</t>
  </si>
  <si>
    <t>0                      BV 0660200M  4           1985</t>
  </si>
  <si>
    <t>Christmen : experience of priesthood today / Gerald McGinnity.</t>
  </si>
  <si>
    <t>McGinnity, Gerard.</t>
  </si>
  <si>
    <t>Dublin : Four Courts, [1985?]</t>
  </si>
  <si>
    <t>1992-01-17</t>
  </si>
  <si>
    <t>5213358:eng</t>
  </si>
  <si>
    <t>12582280</t>
  </si>
  <si>
    <t>991000710449702656</t>
  </si>
  <si>
    <t>2272327120002656</t>
  </si>
  <si>
    <t>9780906127940</t>
  </si>
  <si>
    <t>32285000904283</t>
  </si>
  <si>
    <t>893249611</t>
  </si>
  <si>
    <t>BV660.2 .M53 1980</t>
  </si>
  <si>
    <t>0                      BV 0660200M  53          1980</t>
  </si>
  <si>
    <t>Ministry in America : a report and analysis, based on an in-depth survey of 47 denominations in the United States and Canada, with interpretation by 18 experts / David S. Schuller, Merton P. Strommen, and Milo L. Brekke, editors.</t>
  </si>
  <si>
    <t>195167852:eng</t>
  </si>
  <si>
    <t>6087778</t>
  </si>
  <si>
    <t>991004928229702656</t>
  </si>
  <si>
    <t>2259632720002656</t>
  </si>
  <si>
    <t>9780060677213</t>
  </si>
  <si>
    <t>32285000904291</t>
  </si>
  <si>
    <t>893230011</t>
  </si>
  <si>
    <t>BV660.2 .N4 1985</t>
  </si>
  <si>
    <t>0                      BV 0660200N  4           1985</t>
  </si>
  <si>
    <t>'The good shepherd' : meditations on Christian ministry in today's world / Lesslie Newbigin ; foreword by the Bishop of Lichfield.</t>
  </si>
  <si>
    <t>Newbigin, Lesslie.</t>
  </si>
  <si>
    <t>London : Mowbray, 1985, c1977.</t>
  </si>
  <si>
    <t>Mowbray's Christian studies series</t>
  </si>
  <si>
    <t>2001-12-11</t>
  </si>
  <si>
    <t>4922063:eng</t>
  </si>
  <si>
    <t>12513762</t>
  </si>
  <si>
    <t>991000696069702656</t>
  </si>
  <si>
    <t>2255924670002656</t>
  </si>
  <si>
    <t>9780264670560</t>
  </si>
  <si>
    <t>32285000904309</t>
  </si>
  <si>
    <t>893589670</t>
  </si>
  <si>
    <t>BV660.2 .T4713 1983</t>
  </si>
  <si>
    <t>0                      BV 0660200T  4713        1983</t>
  </si>
  <si>
    <t>Priesthood and ministry : ecumenical research / by Max Thurian ; translated by Paula Clifford.</t>
  </si>
  <si>
    <t>Thurian, Max.</t>
  </si>
  <si>
    <t>London : Mowbray, 1983.</t>
  </si>
  <si>
    <t>1994-03-15</t>
  </si>
  <si>
    <t>2754312685:eng</t>
  </si>
  <si>
    <t>10427434</t>
  </si>
  <si>
    <t>991000369539702656</t>
  </si>
  <si>
    <t>2270711040002656</t>
  </si>
  <si>
    <t>9780264669205</t>
  </si>
  <si>
    <t>32285000904325</t>
  </si>
  <si>
    <t>893224927</t>
  </si>
  <si>
    <t>BV660.2 .W46</t>
  </si>
  <si>
    <t>0                      BV 0660200W  46</t>
  </si>
  <si>
    <t>Method in ministry : theological reflection and Christian ministry / James D. Whitehead and Evelyn Eaton Whitehead.</t>
  </si>
  <si>
    <t>New York : Seabury Press, c1980, 1981.</t>
  </si>
  <si>
    <t>2006-12-08</t>
  </si>
  <si>
    <t>1990-03-29</t>
  </si>
  <si>
    <t>513230:eng</t>
  </si>
  <si>
    <t>6196565</t>
  </si>
  <si>
    <t>991004943679702656</t>
  </si>
  <si>
    <t>2266186730002656</t>
  </si>
  <si>
    <t>9780816404551</t>
  </si>
  <si>
    <t>32285000106657</t>
  </si>
  <si>
    <t>893694537</t>
  </si>
  <si>
    <t>BV660.2 .Z37 1999</t>
  </si>
  <si>
    <t>0                      BV 0660200Z  37          1999</t>
  </si>
  <si>
    <t>No longer servants, but friends : a theology of ordained ministry / Edward C. Zaragoza.</t>
  </si>
  <si>
    <t>Zaragoza, Edward C.</t>
  </si>
  <si>
    <t>14461111:eng</t>
  </si>
  <si>
    <t>41156506</t>
  </si>
  <si>
    <t>991003565919702656</t>
  </si>
  <si>
    <t>2261569650002656</t>
  </si>
  <si>
    <t>9780687081639</t>
  </si>
  <si>
    <t>32285004376173</t>
  </si>
  <si>
    <t>893422703</t>
  </si>
  <si>
    <t>BV662 .L38</t>
  </si>
  <si>
    <t>0                      BV 0662000L  38</t>
  </si>
  <si>
    <t>The Christian priesthood / edited by Nicholas Lash and Joseph Rhymer.</t>
  </si>
  <si>
    <t>London, Barton Longman &amp; Todd; Denville, N.J., Dimension Books, 1970.</t>
  </si>
  <si>
    <t>1153066134:eng</t>
  </si>
  <si>
    <t>488657</t>
  </si>
  <si>
    <t>991002854699702656</t>
  </si>
  <si>
    <t>2256034410002656</t>
  </si>
  <si>
    <t>9780232511369</t>
  </si>
  <si>
    <t>32285000904341</t>
  </si>
  <si>
    <t>893805138</t>
  </si>
  <si>
    <t>BV663 .C53 1993</t>
  </si>
  <si>
    <t>0                      BV 0663000C  53          1993</t>
  </si>
  <si>
    <t>Church, ministry, and organization in the early church era / edited with introductions by Everett Ferguson.</t>
  </si>
  <si>
    <t>New York : Garland Pub., 1993.</t>
  </si>
  <si>
    <t>Studies in early Christianity ; v. 13</t>
  </si>
  <si>
    <t>354589:eng</t>
  </si>
  <si>
    <t>27035356</t>
  </si>
  <si>
    <t>991002109329702656</t>
  </si>
  <si>
    <t>2270372640002656</t>
  </si>
  <si>
    <t>9780815310730</t>
  </si>
  <si>
    <t>32285001499259</t>
  </si>
  <si>
    <t>893352159</t>
  </si>
  <si>
    <t>BV670 .R313 1962</t>
  </si>
  <si>
    <t>0                      BV 0670000R  313         1962</t>
  </si>
  <si>
    <t>The episcopate and the primacy / [by] Karl Rahner [and] Joseph Ratzinger. Translated by Kenneth Barker and others.</t>
  </si>
  <si>
    <t>Quaestiones disputatae ; 4</t>
  </si>
  <si>
    <t>1995-02-13</t>
  </si>
  <si>
    <t>4160283616:eng</t>
  </si>
  <si>
    <t>655670</t>
  </si>
  <si>
    <t>991003108669702656</t>
  </si>
  <si>
    <t>2260753610002656</t>
  </si>
  <si>
    <t>32285000904374</t>
  </si>
  <si>
    <t>893239891</t>
  </si>
  <si>
    <t>BV670.2 .C46 1971</t>
  </si>
  <si>
    <t>0                      BV 0670200C  46          1971</t>
  </si>
  <si>
    <t>The choosing of bishops : historical and theological studies / William W. Bassett, editor. Raymond E. Goedert, introd.</t>
  </si>
  <si>
    <t>Hartford : Canon Law Society of America, 1971.</t>
  </si>
  <si>
    <t>2005-04-10</t>
  </si>
  <si>
    <t>307191157:eng</t>
  </si>
  <si>
    <t>140599</t>
  </si>
  <si>
    <t>991000805559702656</t>
  </si>
  <si>
    <t>2255750770002656</t>
  </si>
  <si>
    <t>32285000904382</t>
  </si>
  <si>
    <t>893891040</t>
  </si>
  <si>
    <t>BV670.2 .C73</t>
  </si>
  <si>
    <t>0                      BV 0670200C  73</t>
  </si>
  <si>
    <t>The episcopate and Christian unity : a symposium conducted by the Graymoor Friars ... / compiled and edited by Titus Cranny.</t>
  </si>
  <si>
    <t>Christian Unity Conference (1964 : St. Pius X Seminary)</t>
  </si>
  <si>
    <t>Garrison, N. Y., Chair of Unity Apostolate [1965]</t>
  </si>
  <si>
    <t>4020062606:eng</t>
  </si>
  <si>
    <t>1225719</t>
  </si>
  <si>
    <t>991003632089702656</t>
  </si>
  <si>
    <t>2262645720002656</t>
  </si>
  <si>
    <t>32285000904416</t>
  </si>
  <si>
    <t>893605020</t>
  </si>
  <si>
    <t>BV670.2 .C86 1985</t>
  </si>
  <si>
    <t>0                      BV 0670200C  86          1985</t>
  </si>
  <si>
    <t>The bishop in the church : patristic texts on the role of the Episkopos / by Agnes Cunningham.</t>
  </si>
  <si>
    <t>Cunningham, Agnes.</t>
  </si>
  <si>
    <t>Wilmington, Del. : M. Glazier, c1985.</t>
  </si>
  <si>
    <t>Theology and life series ; v. 13</t>
  </si>
  <si>
    <t>4741479:eng</t>
  </si>
  <si>
    <t>12084023</t>
  </si>
  <si>
    <t>991000638109702656</t>
  </si>
  <si>
    <t>2262965740002656</t>
  </si>
  <si>
    <t>9780894534690</t>
  </si>
  <si>
    <t>32285000904424</t>
  </si>
  <si>
    <t>893589623</t>
  </si>
  <si>
    <t>BV670.2 .H25</t>
  </si>
  <si>
    <t>0                      BV 0670200H  25</t>
  </si>
  <si>
    <t>To preach the Gospel, the first duty of the bishop : reflections on the episcopal magisterium, November 12, 1978 ; Theology and the human sciences, theology and contemplation, November 13, 1978 / two addresses of Jerome Hamer.</t>
  </si>
  <si>
    <t>Hamer, Jérôme.</t>
  </si>
  <si>
    <t>Washington, D.C. : United States Catholic Conference, 1979.</t>
  </si>
  <si>
    <t>1862840483:eng</t>
  </si>
  <si>
    <t>5665770</t>
  </si>
  <si>
    <t>991004854679702656</t>
  </si>
  <si>
    <t>2263862890002656</t>
  </si>
  <si>
    <t>32285000904432</t>
  </si>
  <si>
    <t>893229922</t>
  </si>
  <si>
    <t>BV675 .B43 2000</t>
  </si>
  <si>
    <t>0                      BV 0675000B  43          2000</t>
  </si>
  <si>
    <t>Becoming colleagues : women and men serving together in faith / Carol E. Becker.</t>
  </si>
  <si>
    <t>Becker, Carol E.</t>
  </si>
  <si>
    <t>836948598:eng</t>
  </si>
  <si>
    <t>43615570</t>
  </si>
  <si>
    <t>991004794399702656</t>
  </si>
  <si>
    <t>2264316420002656</t>
  </si>
  <si>
    <t>9780787947095</t>
  </si>
  <si>
    <t>32285005186555</t>
  </si>
  <si>
    <t>893532818</t>
  </si>
  <si>
    <t>BV675 .H46 1985</t>
  </si>
  <si>
    <t>0                      BV 0675000H  46          1985</t>
  </si>
  <si>
    <t>How to develop a team ministry and make it work / Ervin F. Henkelmann, Stephen J. Carter.</t>
  </si>
  <si>
    <t>Henkelmann, Ervin F., 1938-</t>
  </si>
  <si>
    <t>St. Louis, MO : Concordia, c1985.</t>
  </si>
  <si>
    <t>3857699:eng</t>
  </si>
  <si>
    <t>11029670</t>
  </si>
  <si>
    <t>991000475589702656</t>
  </si>
  <si>
    <t>2265937740002656</t>
  </si>
  <si>
    <t>9780570039464</t>
  </si>
  <si>
    <t>32285000236827</t>
  </si>
  <si>
    <t>893508816</t>
  </si>
  <si>
    <t>BV676 .F47 1978</t>
  </si>
  <si>
    <t>0                      BV 0676000F  47          1978</t>
  </si>
  <si>
    <t>Called to break bread? : A psychological investigation of 100 women who feel called to priesthood in the Catholic Church / Fran Ferder.</t>
  </si>
  <si>
    <t>Mt. Rainier, MD : Quixote Center, c1978.</t>
  </si>
  <si>
    <t>2002-05-07</t>
  </si>
  <si>
    <t>14675033:eng</t>
  </si>
  <si>
    <t>4366494</t>
  </si>
  <si>
    <t>991004630379702656</t>
  </si>
  <si>
    <t>2267979560002656</t>
  </si>
  <si>
    <t>32285003479390</t>
  </si>
  <si>
    <t>893344051</t>
  </si>
  <si>
    <t>BV676 .L39 1988</t>
  </si>
  <si>
    <t>0                      BV 0676000L  39          1988</t>
  </si>
  <si>
    <t>Handmaidens of the Lord : Pentecostal women preachers and traditional religion / Elaine J. Lawless.</t>
  </si>
  <si>
    <t>Philadelphia : University of Pennsylvania Press, c1988.</t>
  </si>
  <si>
    <t>Publications of the American Folklore Society. New series ; v. 9</t>
  </si>
  <si>
    <t>1999-04-27</t>
  </si>
  <si>
    <t>1991-04-10</t>
  </si>
  <si>
    <t>867914587:eng</t>
  </si>
  <si>
    <t>17676763</t>
  </si>
  <si>
    <t>991001251249702656</t>
  </si>
  <si>
    <t>2260490930002656</t>
  </si>
  <si>
    <t>9780812281002</t>
  </si>
  <si>
    <t>32285000567296</t>
  </si>
  <si>
    <t>893803486</t>
  </si>
  <si>
    <t>BV680 .B37 1981</t>
  </si>
  <si>
    <t>0                      BV 0680000B  37          1981</t>
  </si>
  <si>
    <t>The diaconate--a full and equal order : a comprehensive and critical study of the origin, development, and decline of the diaconate in the context of the church's total ministry and a proposal for renewal / James Monroe Barnett.</t>
  </si>
  <si>
    <t>Barnett, James Monroe.</t>
  </si>
  <si>
    <t>New York : Seabury Press, 1981.</t>
  </si>
  <si>
    <t>2000-10-13</t>
  </si>
  <si>
    <t>235608681:eng</t>
  </si>
  <si>
    <t>7576149</t>
  </si>
  <si>
    <t>991005135099702656</t>
  </si>
  <si>
    <t>2266112780002656</t>
  </si>
  <si>
    <t>9780816404971</t>
  </si>
  <si>
    <t>32285000904564</t>
  </si>
  <si>
    <t>893883385</t>
  </si>
  <si>
    <t>BV680 .E25 1971</t>
  </si>
  <si>
    <t>0                      BV 0680000E  25          1971</t>
  </si>
  <si>
    <t>The deacon in the Church : past time and future / [by] Edward P. Echlin.</t>
  </si>
  <si>
    <t>Echlin, Edward P.</t>
  </si>
  <si>
    <t>Staten Island, N.Y. : Alba House, [1971]</t>
  </si>
  <si>
    <t>1997-01-27</t>
  </si>
  <si>
    <t>1992-02-17</t>
  </si>
  <si>
    <t>1274637:eng</t>
  </si>
  <si>
    <t>207847</t>
  </si>
  <si>
    <t>991001241569702656</t>
  </si>
  <si>
    <t>2266980230002656</t>
  </si>
  <si>
    <t>9780818902130</t>
  </si>
  <si>
    <t>32285000970490</t>
  </si>
  <si>
    <t>893516030</t>
  </si>
  <si>
    <t>BV700 .P27 1986</t>
  </si>
  <si>
    <t>0                      BV 0700000P  27          1986</t>
  </si>
  <si>
    <t>The Parish in transition : proceedings of a conference on the American Catholic parish / edited by David Byers ; sponsored by Foundations and Donors Interested in Catholic Activities, Inc., in association with Bishops' Committee on Priestly Life and Ministry, National Conference of Catholic Bishops ; Institute for Pastoral and Social Ministry, University of Notre Dame ; Lilly Endowment, Inc. ; National Pastoral Life Center.</t>
  </si>
  <si>
    <t>Washington, D.C. : United States Catholic Conference, c1986.</t>
  </si>
  <si>
    <t>Publication / United States Catholic Conference. Office of Publishing and Promotion Services ; no. 967</t>
  </si>
  <si>
    <t>1995-10-04</t>
  </si>
  <si>
    <t>7190395:eng</t>
  </si>
  <si>
    <t>13469990</t>
  </si>
  <si>
    <t>991000835069702656</t>
  </si>
  <si>
    <t>2262075090002656</t>
  </si>
  <si>
    <t>32285000166396</t>
  </si>
  <si>
    <t>893714939</t>
  </si>
  <si>
    <t>BV700 .P366 1983</t>
  </si>
  <si>
    <t>0                      BV 0700000P  366         1983</t>
  </si>
  <si>
    <t>Parish life in the United States : final report to the Bishops of the United States / by the Parish Project, Staff to the Committee on the Parish, National Conference of Catholic Bishops ; [text prepared by Philip J. Murnion].</t>
  </si>
  <si>
    <t>Washington, D.C. : Office of Publishing Services, United States Catholic Conference, c1983.</t>
  </si>
  <si>
    <t>2800497:eng</t>
  </si>
  <si>
    <t>9809506</t>
  </si>
  <si>
    <t>991000260629702656</t>
  </si>
  <si>
    <t>2260303020002656</t>
  </si>
  <si>
    <t>32285000904598</t>
  </si>
  <si>
    <t>893614055</t>
  </si>
  <si>
    <t>BV700 .P37</t>
  </si>
  <si>
    <t>0                      BV 0700000P  37</t>
  </si>
  <si>
    <t>The parish project reader : selected articles from the Parish ministry newsletter, 1979-1982.</t>
  </si>
  <si>
    <t>Washington, D.C. : Parish Project, National Conference of Catholic Bishops, c1982.</t>
  </si>
  <si>
    <t>Publication / Office of Publishing Services, United States Catholic Conference ; no. 853</t>
  </si>
  <si>
    <t>10248581037:eng</t>
  </si>
  <si>
    <t>9098569</t>
  </si>
  <si>
    <t>991000128369702656</t>
  </si>
  <si>
    <t>2261911250002656</t>
  </si>
  <si>
    <t>32285000904606</t>
  </si>
  <si>
    <t>893508534</t>
  </si>
  <si>
    <t>BV700 .R213 1958</t>
  </si>
  <si>
    <t>0                      BV 0700000R  213         1958</t>
  </si>
  <si>
    <t>The parish, from theology to practice / edited by Hugo Rahner. Translated by Robert Kress.</t>
  </si>
  <si>
    <t>Rahner, Hugo, 1900-1968 editor.</t>
  </si>
  <si>
    <t>Westminster, Md. : Newman Press, 1958.</t>
  </si>
  <si>
    <t xml:space="preserve">md </t>
  </si>
  <si>
    <t>42862230:eng</t>
  </si>
  <si>
    <t>8989440</t>
  </si>
  <si>
    <t>991000107839702656</t>
  </si>
  <si>
    <t>2255485270002656</t>
  </si>
  <si>
    <t>32285000904614</t>
  </si>
  <si>
    <t>893502234</t>
  </si>
  <si>
    <t>BV720 .F73 1985</t>
  </si>
  <si>
    <t>0                      BV 0720000F  73          1985</t>
  </si>
  <si>
    <t>Hermeneutics of the councils and other studies / Piet F. Fransen ; collected by H.E. Mertens and F. De Graeve.</t>
  </si>
  <si>
    <t>Fransen, Piet F. (Piet Frans)</t>
  </si>
  <si>
    <t>Leuven, Belgium : Leuven University Press : Peeters, 1985.</t>
  </si>
  <si>
    <t>Bibliotheca Ephemeridum theologicarum Lovaniensium ; 69</t>
  </si>
  <si>
    <t>1992-09-20</t>
  </si>
  <si>
    <t>6979850:eng</t>
  </si>
  <si>
    <t>13859312</t>
  </si>
  <si>
    <t>991000882969702656</t>
  </si>
  <si>
    <t>2265318260002656</t>
  </si>
  <si>
    <t>9789061861706</t>
  </si>
  <si>
    <t>32285000904648</t>
  </si>
  <si>
    <t>893897306</t>
  </si>
  <si>
    <t>BV720 .T54</t>
  </si>
  <si>
    <t>0                      BV 0720000T  54</t>
  </si>
  <si>
    <t>Foundations of the conciliar theory : the contribution of the medieval canonists from Gratian to the Great Schism / by Brian Tierney.</t>
  </si>
  <si>
    <t>Tierney, Brian.</t>
  </si>
  <si>
    <t>Cambridge [Eng.] University Press, 1955.</t>
  </si>
  <si>
    <t>Cambridge studies in medieval life and thought ; new ser., v. 4</t>
  </si>
  <si>
    <t>2010-04-18</t>
  </si>
  <si>
    <t>634390:eng</t>
  </si>
  <si>
    <t>517399</t>
  </si>
  <si>
    <t>991002901269702656</t>
  </si>
  <si>
    <t>2255131220002656</t>
  </si>
  <si>
    <t>32285000904663</t>
  </si>
  <si>
    <t>893233579</t>
  </si>
  <si>
    <t>BV741 .F79 1997</t>
  </si>
  <si>
    <t>0                      BV 0741000F  79          1997</t>
  </si>
  <si>
    <t>Freedom and religion in the nineteenth century / edited by Richard Helmstadter.</t>
  </si>
  <si>
    <t>Stanford, Calif. : Stanford University Press, 1997.</t>
  </si>
  <si>
    <t>The making of modern freedom</t>
  </si>
  <si>
    <t>2007-11-09</t>
  </si>
  <si>
    <t>613391:eng</t>
  </si>
  <si>
    <t>36165199</t>
  </si>
  <si>
    <t>991002757489702656</t>
  </si>
  <si>
    <t>2265160750002656</t>
  </si>
  <si>
    <t>9780804730877</t>
  </si>
  <si>
    <t>32285003533071</t>
  </si>
  <si>
    <t>893698223</t>
  </si>
  <si>
    <t>BV741 .H45 1968</t>
  </si>
  <si>
    <t>0                      BV 0741000H  45          1968</t>
  </si>
  <si>
    <t>L'Herméneutique de la liberté religieuse / Actes du colloque organisé par le Centre international d'études humanistes et par l'Institut d'études philosophiques de Rome, Rome, 7-12 Janvier 1968, aux soins de Enrico Castelli, [par] E. Castelli, H. Gouhier, S. Cotta, R. Panikkar ... [etc.]</t>
  </si>
  <si>
    <t>Paris : Aubier, Montaigne, 1968.</t>
  </si>
  <si>
    <t>2005-05-23</t>
  </si>
  <si>
    <t>8960788526:fre</t>
  </si>
  <si>
    <t>4209715</t>
  </si>
  <si>
    <t>991004609579702656</t>
  </si>
  <si>
    <t>2264827250002656</t>
  </si>
  <si>
    <t>32285000904747</t>
  </si>
  <si>
    <t>893712813</t>
  </si>
  <si>
    <t>BV741 .K8</t>
  </si>
  <si>
    <t>0                      BV 0741000K  8</t>
  </si>
  <si>
    <t>Freedom today / by Hans Kung ; translated by Cecily Hastings.</t>
  </si>
  <si>
    <t>New York : Sheed and Ward, 1966.</t>
  </si>
  <si>
    <t>Theological meditations</t>
  </si>
  <si>
    <t>1418962:eng</t>
  </si>
  <si>
    <t>401997</t>
  </si>
  <si>
    <t>991002692169702656</t>
  </si>
  <si>
    <t>2268304720002656</t>
  </si>
  <si>
    <t>32285000904754</t>
  </si>
  <si>
    <t>893352468</t>
  </si>
  <si>
    <t>BV741 .L54 2003</t>
  </si>
  <si>
    <t>0                      BV 0741000L  54          2003</t>
  </si>
  <si>
    <t>Persecution : how liberals are waging war against Christianity / David Limbaugh.</t>
  </si>
  <si>
    <t>Limbaugh, David.</t>
  </si>
  <si>
    <t>Washington, DC : Regnery Pub. ; Lanham, MD : Distributed to the trade by National Book Network, c2003.</t>
  </si>
  <si>
    <t>2003-11-10</t>
  </si>
  <si>
    <t>738340:eng</t>
  </si>
  <si>
    <t>52821218</t>
  </si>
  <si>
    <t>991004176419702656</t>
  </si>
  <si>
    <t>2271821220002656</t>
  </si>
  <si>
    <t>9780895261113</t>
  </si>
  <si>
    <t>32285004796446</t>
  </si>
  <si>
    <t>893318887</t>
  </si>
  <si>
    <t>BV741 .M86 1965</t>
  </si>
  <si>
    <t>0                      BV 0741000M  86          1965</t>
  </si>
  <si>
    <t>The problem of religious freedom / by John Courtney Murray.</t>
  </si>
  <si>
    <t>Murray, John Courtney.</t>
  </si>
  <si>
    <t>Westminster, Md. : Newman Press, 1965.</t>
  </si>
  <si>
    <t>Woodstock papers : occasional essays for theology ; no. 7</t>
  </si>
  <si>
    <t>2001-12-06</t>
  </si>
  <si>
    <t>1525856:eng</t>
  </si>
  <si>
    <t>390999</t>
  </si>
  <si>
    <t>991002659889702656</t>
  </si>
  <si>
    <t>2262058520002656</t>
  </si>
  <si>
    <t>32285000904762</t>
  </si>
  <si>
    <t>893347763</t>
  </si>
  <si>
    <t>BV741 .M87</t>
  </si>
  <si>
    <t>0                      BV 0741000M  87</t>
  </si>
  <si>
    <t>Freedom and man / edited by John Courtney Murray ; Contributors Hans Küng...[et.al.]</t>
  </si>
  <si>
    <t>Murray, John Courtney, editor.</t>
  </si>
  <si>
    <t>New York : P. J. Kenedy, 1965.</t>
  </si>
  <si>
    <t>A Wisdom and discovery book</t>
  </si>
  <si>
    <t>1993-09-08</t>
  </si>
  <si>
    <t>1992-07-17</t>
  </si>
  <si>
    <t>1512063:eng</t>
  </si>
  <si>
    <t>386627</t>
  </si>
  <si>
    <t>991001633769702656</t>
  </si>
  <si>
    <t>2259568370002656</t>
  </si>
  <si>
    <t>32285000904770</t>
  </si>
  <si>
    <t>893322099</t>
  </si>
  <si>
    <t>BV741 .S94 1969</t>
  </si>
  <si>
    <t>0                      BV 0741000S  94          1969</t>
  </si>
  <si>
    <t>Freedom in the church / [by] Leonard Swidler.</t>
  </si>
  <si>
    <t>Swidler, Leonard J.</t>
  </si>
  <si>
    <t>Dayton, Ohio : Pflaum Press, 1969.</t>
  </si>
  <si>
    <t>Themes for today</t>
  </si>
  <si>
    <t>1999-05-25</t>
  </si>
  <si>
    <t>1167545:eng</t>
  </si>
  <si>
    <t>50443</t>
  </si>
  <si>
    <t>991000121779702656</t>
  </si>
  <si>
    <t>2256088810002656</t>
  </si>
  <si>
    <t>32285000904796</t>
  </si>
  <si>
    <t>893320825</t>
  </si>
  <si>
    <t>BV741 .W65 1967</t>
  </si>
  <si>
    <t>0                      BV 0741000W  65          1967</t>
  </si>
  <si>
    <t>Protestant faith and religious liberty / Philip Wogaman.</t>
  </si>
  <si>
    <t>Wogaman, J. Philip.</t>
  </si>
  <si>
    <t>Nashville : Abingdon Press, c1967.</t>
  </si>
  <si>
    <t>1505022:eng</t>
  </si>
  <si>
    <t>384791</t>
  </si>
  <si>
    <t>991005261309702656</t>
  </si>
  <si>
    <t>2258552800002656</t>
  </si>
  <si>
    <t>32285005456602</t>
  </si>
  <si>
    <t>893896149</t>
  </si>
  <si>
    <t>BV761.A47 A2 1968</t>
  </si>
  <si>
    <t>0                      BV 0761000A  47                 A  2           1968</t>
  </si>
  <si>
    <t>La Tradition apostolique, d'après les anciennes versions. Introduction, traduction et notes par Bernard Botte.</t>
  </si>
  <si>
    <t>Hippolytus, Antipope, approximately 170-235 or 236.</t>
  </si>
  <si>
    <t>Paris, Editions du Cerf, 1968.</t>
  </si>
  <si>
    <t>2d édition.</t>
  </si>
  <si>
    <t>Sources chrétiennes ; no 11</t>
  </si>
  <si>
    <t>1998-06-22</t>
  </si>
  <si>
    <t>4159865816:fre</t>
  </si>
  <si>
    <t>10644192</t>
  </si>
  <si>
    <t>991003246659702656</t>
  </si>
  <si>
    <t>2264927440002656</t>
  </si>
  <si>
    <t>32285000904838</t>
  </si>
  <si>
    <t>893428592</t>
  </si>
  <si>
    <t>BV761.A47 A31 1976</t>
  </si>
  <si>
    <t>0                      BV 0761000A  47                 A  31          1976</t>
  </si>
  <si>
    <t>Hippolytus, a text for students / with introd., translation, commentary and notes by Geoffrey J. Cuming.</t>
  </si>
  <si>
    <t>Bramcote, Notts. : Grove Books, 1976.</t>
  </si>
  <si>
    <t>Grove liturgical study ; no. 8</t>
  </si>
  <si>
    <t>2000-03-01</t>
  </si>
  <si>
    <t>5218495327:eng</t>
  </si>
  <si>
    <t>3315515</t>
  </si>
  <si>
    <t>991004404389702656</t>
  </si>
  <si>
    <t>2262799630002656</t>
  </si>
  <si>
    <t>9780905422022</t>
  </si>
  <si>
    <t>32285000904853</t>
  </si>
  <si>
    <t>893519607</t>
  </si>
  <si>
    <t>BV770 .D4 1982</t>
  </si>
  <si>
    <t>0                      BV 0770000D  4           1982</t>
  </si>
  <si>
    <t>How to increase parish income / Henry F. de Mena, Jr.</t>
  </si>
  <si>
    <t>De Mena, Henry F.</t>
  </si>
  <si>
    <t>Mystic, CT : Twenty-Third Publications, c1982.</t>
  </si>
  <si>
    <t>1996-07-01</t>
  </si>
  <si>
    <t>1990-11-27</t>
  </si>
  <si>
    <t>3439501:eng</t>
  </si>
  <si>
    <t>10925148</t>
  </si>
  <si>
    <t>991000460269702656</t>
  </si>
  <si>
    <t>2272781460002656</t>
  </si>
  <si>
    <t>9780896221604</t>
  </si>
  <si>
    <t>32285000297340</t>
  </si>
  <si>
    <t>893890697</t>
  </si>
  <si>
    <t>BV772 .C37 1993</t>
  </si>
  <si>
    <t>0                      BV 0772000C  37          1993</t>
  </si>
  <si>
    <t>Stewardship : a disciple's response / National Conference of Catholic Bishops.</t>
  </si>
  <si>
    <t>Catholic Church. National Conference of Catholic Bishops. Ad Hoc Committee on Stewardship.</t>
  </si>
  <si>
    <t>Washington, D.C. : Office for Publishing and Promotion Services, United States Catholic Conference, c1993.</t>
  </si>
  <si>
    <t>Publication / United States Catholic Conference, Office for Publishing and Promotion Services ; no. 567-4</t>
  </si>
  <si>
    <t>1993-08-03</t>
  </si>
  <si>
    <t>503737474:eng</t>
  </si>
  <si>
    <t>28315274</t>
  </si>
  <si>
    <t>991002201569702656</t>
  </si>
  <si>
    <t>2259537450002656</t>
  </si>
  <si>
    <t>9781555865672</t>
  </si>
  <si>
    <t>32285001739928</t>
  </si>
  <si>
    <t>893335047</t>
  </si>
  <si>
    <t>BV772 .C37 2002</t>
  </si>
  <si>
    <t>0                      BV 0772000C  37          2002</t>
  </si>
  <si>
    <t>Stewardship : a disciple's response : a pastoral letter on stewardship / United States Conference of Catholic Bishops.</t>
  </si>
  <si>
    <t>Catholic Church. United States Conference of Catholic Bishops. Ad Hoc Committee on Stewardship.</t>
  </si>
  <si>
    <t>Washington, D.C. : United States Conference of Catholic Bishops, c2002.</t>
  </si>
  <si>
    <t>10th anniversary ed.</t>
  </si>
  <si>
    <t>2008-04-27</t>
  </si>
  <si>
    <t>4202641023:eng</t>
  </si>
  <si>
    <t>51881446</t>
  </si>
  <si>
    <t>991004031519702656</t>
  </si>
  <si>
    <t>2272008610002656</t>
  </si>
  <si>
    <t>9781574554656</t>
  </si>
  <si>
    <t>32285004686381</t>
  </si>
  <si>
    <t>893525552</t>
  </si>
  <si>
    <t>BV772 .E2</t>
  </si>
  <si>
    <t>0                      BV 0772000E  2</t>
  </si>
  <si>
    <t>The Earth is the Lord's : essays on stewardship / edited by Mary Evelyn Jegen and Bruno Manno.</t>
  </si>
  <si>
    <t>10915730:eng</t>
  </si>
  <si>
    <t>3600115</t>
  </si>
  <si>
    <t>991004471499702656</t>
  </si>
  <si>
    <t>2265237950002656</t>
  </si>
  <si>
    <t>9780809120673</t>
  </si>
  <si>
    <t>32285000904895</t>
  </si>
  <si>
    <t>893229399</t>
  </si>
  <si>
    <t>BV8 .W45 1997</t>
  </si>
  <si>
    <t>0                      BV 0008000W  45          1997</t>
  </si>
  <si>
    <t>Christian worship in North America : a retrospective, 1955-1995 / James F. White.</t>
  </si>
  <si>
    <t>White, James F.</t>
  </si>
  <si>
    <t>Collegeville, Minn. : Liturgical Press, c1997.</t>
  </si>
  <si>
    <t>2005-11-12</t>
  </si>
  <si>
    <t>839401320:eng</t>
  </si>
  <si>
    <t>35174811</t>
  </si>
  <si>
    <t>991002693289702656</t>
  </si>
  <si>
    <t>2271784060002656</t>
  </si>
  <si>
    <t>9780814661567</t>
  </si>
  <si>
    <t>32285002499076</t>
  </si>
  <si>
    <t>893597762</t>
  </si>
  <si>
    <t>BV8 .W67 2004</t>
  </si>
  <si>
    <t>0                      BV 0008000W  67          2004</t>
  </si>
  <si>
    <t>Worship in medieval and early modern Europe : change and continuity in religious practice / edited by Karin Maag &amp; John D. Witvliet.</t>
  </si>
  <si>
    <t>Notre Dame, Ind. : University of Notre Dame Press, c2004.</t>
  </si>
  <si>
    <t>2005-11-28</t>
  </si>
  <si>
    <t>904851700:eng</t>
  </si>
  <si>
    <t>53483587</t>
  </si>
  <si>
    <t>991004682229702656</t>
  </si>
  <si>
    <t>2264945520002656</t>
  </si>
  <si>
    <t>9780268034740</t>
  </si>
  <si>
    <t>32285005149009</t>
  </si>
  <si>
    <t>893801220</t>
  </si>
  <si>
    <t>BV800 .B43</t>
  </si>
  <si>
    <t>0                      BV 0800000B  43</t>
  </si>
  <si>
    <t>Grounded in love : sacramental theology in an ecumenical perspective / Frans Jozef van Beeck.</t>
  </si>
  <si>
    <t>Beeck, Frans Jozef van.</t>
  </si>
  <si>
    <t>427618889:eng</t>
  </si>
  <si>
    <t>7922532</t>
  </si>
  <si>
    <t>991005175659702656</t>
  </si>
  <si>
    <t>2259460490002656</t>
  </si>
  <si>
    <t>9780819120403</t>
  </si>
  <si>
    <t>32285000130111</t>
  </si>
  <si>
    <t>893600752</t>
  </si>
  <si>
    <t>BV800 .B6813 1968</t>
  </si>
  <si>
    <t>0                      BV 0800000B  6813        1968</t>
  </si>
  <si>
    <t>The spirituality of the sacraments : doctrine and practice for today / by Bernard Bro. Translated by Theodore DuBois.</t>
  </si>
  <si>
    <t>Bro, Bernard.</t>
  </si>
  <si>
    <t>New York : Sheed and Ward, [1968]</t>
  </si>
  <si>
    <t>1994-04-25</t>
  </si>
  <si>
    <t>1992-01-23</t>
  </si>
  <si>
    <t>497955592:eng</t>
  </si>
  <si>
    <t>444117</t>
  </si>
  <si>
    <t>991002792609702656</t>
  </si>
  <si>
    <t>2265007140002656</t>
  </si>
  <si>
    <t>32285000904937</t>
  </si>
  <si>
    <t>893710683</t>
  </si>
  <si>
    <t>BV800 .C59 2003</t>
  </si>
  <si>
    <t>0                      BV 0800000C  59          2003</t>
  </si>
  <si>
    <t>Immersed in the sacred : discovering the "small s" sacraments / Kathy Coffey.</t>
  </si>
  <si>
    <t>Coffey, Kathy.</t>
  </si>
  <si>
    <t>Notre Dame, Ind. : Ave Maria Press, c2003.</t>
  </si>
  <si>
    <t>5114096977:eng</t>
  </si>
  <si>
    <t>50941901</t>
  </si>
  <si>
    <t>991005079439702656</t>
  </si>
  <si>
    <t>2257755740002656</t>
  </si>
  <si>
    <t>9780877939627</t>
  </si>
  <si>
    <t>32285005312714</t>
  </si>
  <si>
    <t>893326127</t>
  </si>
  <si>
    <t>BV800 .C983</t>
  </si>
  <si>
    <t>0                      BV 0800000C  983</t>
  </si>
  <si>
    <t>Catéchèses mystagogiques [par] Cyrille de Jérusalem. Introduction, texte critique et notes de Auguste Piédagnel. Traduction de Pierre Paris.</t>
  </si>
  <si>
    <t>Cyril, Saint, Bishop of Jerusalem, approximately 315-386.</t>
  </si>
  <si>
    <t>Paris, Editions du Cerf, 1966.</t>
  </si>
  <si>
    <t>Sources chrétiennes ; no 126</t>
  </si>
  <si>
    <t>2010-11-07</t>
  </si>
  <si>
    <t>5620721008:fre</t>
  </si>
  <si>
    <t>1944684</t>
  </si>
  <si>
    <t>991003944869702656</t>
  </si>
  <si>
    <t>2266426540002656</t>
  </si>
  <si>
    <t>32285000904945</t>
  </si>
  <si>
    <t>893349416</t>
  </si>
  <si>
    <t>BV800 .D88 1985</t>
  </si>
  <si>
    <t>0                      BV 0800000D  88          1985</t>
  </si>
  <si>
    <t>Des sacrements au Concile de Trente / André Duval.</t>
  </si>
  <si>
    <t>Duval, André, 1920-2018.</t>
  </si>
  <si>
    <t>Paris : Editions du Cerf, 1985.</t>
  </si>
  <si>
    <t>Rites et symboles, 0750-196X ; 16</t>
  </si>
  <si>
    <t>2002-07-18</t>
  </si>
  <si>
    <t>307798329:fre</t>
  </si>
  <si>
    <t>13407654</t>
  </si>
  <si>
    <t>991000824499702656</t>
  </si>
  <si>
    <t>2272599040002656</t>
  </si>
  <si>
    <t>9782204022064</t>
  </si>
  <si>
    <t>32285000904952</t>
  </si>
  <si>
    <t>893884793</t>
  </si>
  <si>
    <t>BV800 .G35 1969</t>
  </si>
  <si>
    <t>0                      BV 0800000G  35          1969</t>
  </si>
  <si>
    <t>The Jewish antecedents of the Christian sacraments / by F. Gavin.</t>
  </si>
  <si>
    <t>Gavin, Frank (Frank Stanton Burns), 1890-1938.</t>
  </si>
  <si>
    <t>New York, Ktav Pub. House, 1969.</t>
  </si>
  <si>
    <t>1999-08-04</t>
  </si>
  <si>
    <t>1990-06-08</t>
  </si>
  <si>
    <t>1125907:eng</t>
  </si>
  <si>
    <t>2698</t>
  </si>
  <si>
    <t>991005434989702656</t>
  </si>
  <si>
    <t>2262745160002656</t>
  </si>
  <si>
    <t>32285000184480</t>
  </si>
  <si>
    <t>893508263</t>
  </si>
  <si>
    <t>BV800 .G88 1981</t>
  </si>
  <si>
    <t>0                      BV 0800000G  88          1981</t>
  </si>
  <si>
    <t>The book of sacramental basics / Tad Guzie.</t>
  </si>
  <si>
    <t>Guzie, Tad W.</t>
  </si>
  <si>
    <t>2010-02-21</t>
  </si>
  <si>
    <t>579492:eng</t>
  </si>
  <si>
    <t>8108538</t>
  </si>
  <si>
    <t>991004529519702656</t>
  </si>
  <si>
    <t>2264154210002656</t>
  </si>
  <si>
    <t>9780809124114</t>
  </si>
  <si>
    <t>32285005030811</t>
  </si>
  <si>
    <t>893700353</t>
  </si>
  <si>
    <t>BV800 .H64</t>
  </si>
  <si>
    <t>0                      BV 0800000H  64</t>
  </si>
  <si>
    <t>The covenant sealed : the development of Puritan sacramental theology in old and New England, 1570-1720 / E. Brooks Holifield.</t>
  </si>
  <si>
    <t>Holifield, E. Brooks.</t>
  </si>
  <si>
    <t>New Haven : Yale University Press, 1974.</t>
  </si>
  <si>
    <t>2010-02-18</t>
  </si>
  <si>
    <t>1043663613:eng</t>
  </si>
  <si>
    <t>1093255</t>
  </si>
  <si>
    <t>991003529849702656</t>
  </si>
  <si>
    <t>2264707350002656</t>
  </si>
  <si>
    <t>9780300017335</t>
  </si>
  <si>
    <t>32285000904960</t>
  </si>
  <si>
    <t>893774844</t>
  </si>
  <si>
    <t>BV800 .K77 1976</t>
  </si>
  <si>
    <t>0                      BV 0800000K  77          1976</t>
  </si>
  <si>
    <t>The sacramental mysteries : a Byzantine approach / Casimir A. Kucharek.</t>
  </si>
  <si>
    <t>Kucharek, Casimir A.</t>
  </si>
  <si>
    <t>Allendale, N.J. : Alleluia Press, c1976.</t>
  </si>
  <si>
    <t>366202736:eng</t>
  </si>
  <si>
    <t>2783193</t>
  </si>
  <si>
    <t>991004240659702656</t>
  </si>
  <si>
    <t>2264700980002656</t>
  </si>
  <si>
    <t>9780911726060</t>
  </si>
  <si>
    <t>32285000904986</t>
  </si>
  <si>
    <t>893235239</t>
  </si>
  <si>
    <t>BV800 .O46 1983</t>
  </si>
  <si>
    <t>0                      BV 0800000O  46          1983</t>
  </si>
  <si>
    <t>Sacramental realism : a general theory of the sacraments / by Colman E. O'Neill.</t>
  </si>
  <si>
    <t>O'Neill, Colman E.</t>
  </si>
  <si>
    <t>Theology and life series ; 2</t>
  </si>
  <si>
    <t>15667179:eng</t>
  </si>
  <si>
    <t>9771339</t>
  </si>
  <si>
    <t>991000255999702656</t>
  </si>
  <si>
    <t>2258371960002656</t>
  </si>
  <si>
    <t>9780894532979</t>
  </si>
  <si>
    <t>32285000904994</t>
  </si>
  <si>
    <t>893425558</t>
  </si>
  <si>
    <t>BV800 .P38 1970</t>
  </si>
  <si>
    <t>0                      BV 0800000P  38          1970</t>
  </si>
  <si>
    <t>Erasmus, his theology of the sacraments / [by] John B. Payne.</t>
  </si>
  <si>
    <t>Payne, John B. (John Barton), 1931-2016.</t>
  </si>
  <si>
    <t>[Richmond, Va., John Knox Press, 1970]</t>
  </si>
  <si>
    <t>Research in theology</t>
  </si>
  <si>
    <t>1248123:eng</t>
  </si>
  <si>
    <t>124212</t>
  </si>
  <si>
    <t>991000700209702656</t>
  </si>
  <si>
    <t>2259715490002656</t>
  </si>
  <si>
    <t>9780804205535</t>
  </si>
  <si>
    <t>32285000905009</t>
  </si>
  <si>
    <t>893790780</t>
  </si>
  <si>
    <t>BV800.Z58 S23 1992</t>
  </si>
  <si>
    <t>0                      BV 0800000Z  58                 S  23          1992</t>
  </si>
  <si>
    <t>Sacramenta : bibliographia internationalis / Maksimilijan Žitnik.</t>
  </si>
  <si>
    <t>Žitnik, Maksimilijan.</t>
  </si>
  <si>
    <t>Roma : Editrice Pontificia università gregoriana, 1992.</t>
  </si>
  <si>
    <t>lat</t>
  </si>
  <si>
    <t>1995-03-08</t>
  </si>
  <si>
    <t>1994-12-21</t>
  </si>
  <si>
    <t>7594265:lat</t>
  </si>
  <si>
    <t>27342197</t>
  </si>
  <si>
    <t>991002133369702656</t>
  </si>
  <si>
    <t>2267719020002656</t>
  </si>
  <si>
    <t>9788876526411</t>
  </si>
  <si>
    <t>32285001975506</t>
  </si>
  <si>
    <t>893316426</t>
  </si>
  <si>
    <t>32285001975522</t>
  </si>
  <si>
    <t>893328730</t>
  </si>
  <si>
    <t>32285001975530</t>
  </si>
  <si>
    <t>893328732</t>
  </si>
  <si>
    <t>32285001975514</t>
  </si>
  <si>
    <t>893328731</t>
  </si>
  <si>
    <t>BV803 .H49 1993</t>
  </si>
  <si>
    <t>0                      BV 0803000H  49          1993</t>
  </si>
  <si>
    <t>Arator on the Acts of the Apostles : a baptismal commentary / Richard Hillier.</t>
  </si>
  <si>
    <t>Hillier, Richard, Dr.</t>
  </si>
  <si>
    <t>Oxford : Clarendon Press ; New York : Oxford University Press, 1993.</t>
  </si>
  <si>
    <t>Oxford early Christian studies</t>
  </si>
  <si>
    <t>1996-10-03</t>
  </si>
  <si>
    <t>784454223:eng</t>
  </si>
  <si>
    <t>26545251</t>
  </si>
  <si>
    <t>991002071369702656</t>
  </si>
  <si>
    <t>2263611750002656</t>
  </si>
  <si>
    <t>9780198147862</t>
  </si>
  <si>
    <t>32285002322633</t>
  </si>
  <si>
    <t>893590877</t>
  </si>
  <si>
    <t>BV803 .P3 1963</t>
  </si>
  <si>
    <t>0                      BV 0803000P  3           1963</t>
  </si>
  <si>
    <t>Sacraments of healing and of vocation / Paul F. Palmer.</t>
  </si>
  <si>
    <t>Palmer, Paul F. (Paul Francis), 1908-</t>
  </si>
  <si>
    <t>Englewood Cliffs, N. J. : Prentice-Hall, 1963.</t>
  </si>
  <si>
    <t>Foundations of Catholic theology series</t>
  </si>
  <si>
    <t>1992-04-10</t>
  </si>
  <si>
    <t>1044936250:eng</t>
  </si>
  <si>
    <t>3051457</t>
  </si>
  <si>
    <t>991004328399702656</t>
  </si>
  <si>
    <t>2265002660002656</t>
  </si>
  <si>
    <t>32285001018497</t>
  </si>
  <si>
    <t>893722377</t>
  </si>
  <si>
    <t>BV803.A47 M8 1967</t>
  </si>
  <si>
    <t>0                      BV 0803000A  47                 M  8           1967</t>
  </si>
  <si>
    <t>Die Lehre von der Taufe bei Albert dem Grossen.</t>
  </si>
  <si>
    <t>Müller, Alfons.</t>
  </si>
  <si>
    <t>München, Paderborn, Wien, Schöningh, 1967.</t>
  </si>
  <si>
    <t>Veröffentlichungen des Grabmann-Institutes zur Erforschung der Mittelalterlichen Theologie und Philosophie n. F., 2</t>
  </si>
  <si>
    <t>351355661:ger</t>
  </si>
  <si>
    <t>2610838</t>
  </si>
  <si>
    <t>991004183159702656</t>
  </si>
  <si>
    <t>2272063620002656</t>
  </si>
  <si>
    <t>32285000925023</t>
  </si>
  <si>
    <t>893693638</t>
  </si>
  <si>
    <t>BV806 .L913 1964</t>
  </si>
  <si>
    <t>0                      BV 0806000L  913         1964</t>
  </si>
  <si>
    <t>Baptism in the New Testament : a symposium / [by] A. George [and others] Translated by David Askew.</t>
  </si>
  <si>
    <t>Lumière et vie (Lyon, France)</t>
  </si>
  <si>
    <t>908119577:eng</t>
  </si>
  <si>
    <t>384575</t>
  </si>
  <si>
    <t>991002641699702656</t>
  </si>
  <si>
    <t>2256169990002656</t>
  </si>
  <si>
    <t>32285000872712</t>
  </si>
  <si>
    <t>893517548</t>
  </si>
  <si>
    <t>BV806 .W383 1987</t>
  </si>
  <si>
    <t>0                      BV 0806000W  383         1987</t>
  </si>
  <si>
    <t>Baptism and resurrection : studies in Pauline theology against its Graeco-Roman background / by A. J. M. Wedderburn.</t>
  </si>
  <si>
    <t>Wedderburn, A. J. M.</t>
  </si>
  <si>
    <t>Tübingen : J.C.B. Mohr (P. Siebeck), 1987.</t>
  </si>
  <si>
    <t>Wissenschaftliche Untersuchungen zum Neuen Testament ; 44</t>
  </si>
  <si>
    <t>1989-11-29</t>
  </si>
  <si>
    <t>876128560:eng</t>
  </si>
  <si>
    <t>17699376</t>
  </si>
  <si>
    <t>991001253479702656</t>
  </si>
  <si>
    <t>2259898350002656</t>
  </si>
  <si>
    <t>9783161451928</t>
  </si>
  <si>
    <t>32285000016153</t>
  </si>
  <si>
    <t>893784968</t>
  </si>
  <si>
    <t>BV807 .J54 1979</t>
  </si>
  <si>
    <t>0                      BV 0807000J  54          1979</t>
  </si>
  <si>
    <t>Initiationsfeier und Amt : e. Beitr. zur Struktur u. Theologie d. Ämter u.d. Taufgottesdienstes in d. frühen Kirche (Traditio Apostolica, Tertullian, Cyprian) / August Jilek.</t>
  </si>
  <si>
    <t>Jilek, August, 1949-</t>
  </si>
  <si>
    <t>Frankfurt am Main ; Bern ; Cirencester/U.K. : Lang, 1979.</t>
  </si>
  <si>
    <t>Europäische Hochschulschriften : Reihe 23, Theologie ; Bd. 130</t>
  </si>
  <si>
    <t>2000-01-26</t>
  </si>
  <si>
    <t>9350008362:ger</t>
  </si>
  <si>
    <t>6331079</t>
  </si>
  <si>
    <t>991004964709702656</t>
  </si>
  <si>
    <t>2272472470002656</t>
  </si>
  <si>
    <t>9783820466317</t>
  </si>
  <si>
    <t>32285000925098</t>
  </si>
  <si>
    <t>893870298</t>
  </si>
  <si>
    <t>BV811.2 .O53</t>
  </si>
  <si>
    <t>0                      BV 0811200O  53</t>
  </si>
  <si>
    <t>One baptism for the remission of sins / edited by Paul C. Empie and William W. Baum.</t>
  </si>
  <si>
    <t>[New York] : U.S.A. National Committee, Lutheran World Federation, [1966]</t>
  </si>
  <si>
    <t>Lutherans and Catholics in dialogue ; 2</t>
  </si>
  <si>
    <t>422822659:eng</t>
  </si>
  <si>
    <t>717357</t>
  </si>
  <si>
    <t>991003192149702656</t>
  </si>
  <si>
    <t>2258896500002656</t>
  </si>
  <si>
    <t>32285000925122</t>
  </si>
  <si>
    <t>893518228</t>
  </si>
  <si>
    <t>BV812 .B39</t>
  </si>
  <si>
    <t>0                      BV 0812000B  39</t>
  </si>
  <si>
    <t>Becoming a Catholic Christian : a symposium on Christian initiation (advance publication).</t>
  </si>
  <si>
    <t>New York : Sadlier, c1978.</t>
  </si>
  <si>
    <t>2001-12-07</t>
  </si>
  <si>
    <t>18837967:eng</t>
  </si>
  <si>
    <t>5527424</t>
  </si>
  <si>
    <t>991004843239702656</t>
  </si>
  <si>
    <t>2272630540002656</t>
  </si>
  <si>
    <t>32285000637271</t>
  </si>
  <si>
    <t>893325866</t>
  </si>
  <si>
    <t>BV812 .R63213 1977</t>
  </si>
  <si>
    <t>0                      BV 0812000R  63213       1977</t>
  </si>
  <si>
    <t>Homilies for the celebration of baptism for children / by A. M. Roguet ; translated by Jerome J. DuCharme.</t>
  </si>
  <si>
    <t>2001-10-17</t>
  </si>
  <si>
    <t>11896949:eng</t>
  </si>
  <si>
    <t>3710662</t>
  </si>
  <si>
    <t>991004499459702656</t>
  </si>
  <si>
    <t>2263831630002656</t>
  </si>
  <si>
    <t>9780819906557</t>
  </si>
  <si>
    <t>32285000491471</t>
  </si>
  <si>
    <t>893776085</t>
  </si>
  <si>
    <t>BV815 .D59</t>
  </si>
  <si>
    <t>0                      BV 0815000D  59</t>
  </si>
  <si>
    <t>The theology of confirmation in relation to baptism : a public lecture in the University of Oxford delivered on January 22nd, 1946 / by Dom Gregory Dix.</t>
  </si>
  <si>
    <t>Westminster [London] : Dacre Press, 1946.</t>
  </si>
  <si>
    <t>2001-03-25</t>
  </si>
  <si>
    <t>2431521:eng</t>
  </si>
  <si>
    <t>1498655</t>
  </si>
  <si>
    <t>991003783559702656</t>
  </si>
  <si>
    <t>2269082200002656</t>
  </si>
  <si>
    <t>32285001101681</t>
  </si>
  <si>
    <t>893775189</t>
  </si>
  <si>
    <t>BV820 .B37 1994</t>
  </si>
  <si>
    <t>0                      BV 0820000B  37          1994</t>
  </si>
  <si>
    <t>Versions of deconversion : autobiography and the loss of faith / John D. Barbour</t>
  </si>
  <si>
    <t>Barbour, John D.</t>
  </si>
  <si>
    <t>Charlottesville : University Press of Virginia, 1994.</t>
  </si>
  <si>
    <t>Studies in religion and culture</t>
  </si>
  <si>
    <t>1998-12-11</t>
  </si>
  <si>
    <t>1998-12-10</t>
  </si>
  <si>
    <t>836867769:eng</t>
  </si>
  <si>
    <t>30355348</t>
  </si>
  <si>
    <t>991002332059702656</t>
  </si>
  <si>
    <t>2256614810002656</t>
  </si>
  <si>
    <t>9780813915463</t>
  </si>
  <si>
    <t>32285003481685</t>
  </si>
  <si>
    <t>893597318</t>
  </si>
  <si>
    <t>BV820 .D82</t>
  </si>
  <si>
    <t>0                      BV 0820000D  82</t>
  </si>
  <si>
    <t>Where have all our people gone? : New choices for old churches / Carl S. Dudley.</t>
  </si>
  <si>
    <t>Dudley, Carl S., 1932-</t>
  </si>
  <si>
    <t>New York : Pilgrim Press, c1979.</t>
  </si>
  <si>
    <t>14911771:eng</t>
  </si>
  <si>
    <t>4638912</t>
  </si>
  <si>
    <t>991004695329702656</t>
  </si>
  <si>
    <t>2255878110002656</t>
  </si>
  <si>
    <t>9780829803594</t>
  </si>
  <si>
    <t>32285000925197</t>
  </si>
  <si>
    <t>893417887</t>
  </si>
  <si>
    <t>BV820 .U5</t>
  </si>
  <si>
    <t>0                      BV 0820000U  5</t>
  </si>
  <si>
    <t>Understanding church growth and decline, 1950-1978 / edited by Dean R. Hoge and David A. Roozen.</t>
  </si>
  <si>
    <t>15037914:eng</t>
  </si>
  <si>
    <t>4776446</t>
  </si>
  <si>
    <t>991004716709702656</t>
  </si>
  <si>
    <t>2254813820002656</t>
  </si>
  <si>
    <t>9780829803587</t>
  </si>
  <si>
    <t>32285000925213</t>
  </si>
  <si>
    <t>893901672</t>
  </si>
  <si>
    <t>BV823 .B36313 1988</t>
  </si>
  <si>
    <t>0                      BV 0823000B  36313       1988</t>
  </si>
  <si>
    <t>Rediscovering the Lord's Supper : communion with Israel, with Christ, and among the guests / Markus Barth.</t>
  </si>
  <si>
    <t>Barth, Markus.</t>
  </si>
  <si>
    <t>Atlanta : J. Knox Press, c1988.</t>
  </si>
  <si>
    <t>1990-04-23</t>
  </si>
  <si>
    <t>15400418:eng</t>
  </si>
  <si>
    <t>17201394</t>
  </si>
  <si>
    <t>991001185099702656</t>
  </si>
  <si>
    <t>2259252970002656</t>
  </si>
  <si>
    <t>9780804237499</t>
  </si>
  <si>
    <t>32285000131002</t>
  </si>
  <si>
    <t>893231774</t>
  </si>
  <si>
    <t>BV823 .B613 1968</t>
  </si>
  <si>
    <t>0                      BV 0823000B  613         1968</t>
  </si>
  <si>
    <t>Eucharist : theology and spirituality of the eucharistic prayer / Louis Bouyer. Translated by Charles Underhill Quinn.</t>
  </si>
  <si>
    <t>Bouyer, Louis, 1913-2004.</t>
  </si>
  <si>
    <t>Notre Dame, [Ind.] : University of Notre Dame Press, [1968]</t>
  </si>
  <si>
    <t>2004-11-13</t>
  </si>
  <si>
    <t>3856867085:eng</t>
  </si>
  <si>
    <t>439775</t>
  </si>
  <si>
    <t>991002779489702656</t>
  </si>
  <si>
    <t>2266524120002656</t>
  </si>
  <si>
    <t>32285000925221</t>
  </si>
  <si>
    <t>893805029</t>
  </si>
  <si>
    <t>BV823 .B73 1965</t>
  </si>
  <si>
    <t>0                      BV 0823000B  73          1965</t>
  </si>
  <si>
    <t>Eucharistic faith and practice : Evangelical and Catholic / by Yngve Brilioth. Authorised translation by A. G. Hebert.</t>
  </si>
  <si>
    <t>Brilioth, Yngve, 1891-1959.</t>
  </si>
  <si>
    <t>London : Society for promoting Christian knowledge, 1965.</t>
  </si>
  <si>
    <t>2010-04-23</t>
  </si>
  <si>
    <t>1990-04-04</t>
  </si>
  <si>
    <t>10324640:eng</t>
  </si>
  <si>
    <t>374140</t>
  </si>
  <si>
    <t>991002572869702656</t>
  </si>
  <si>
    <t>2262136900002656</t>
  </si>
  <si>
    <t>32285000111434</t>
  </si>
  <si>
    <t>893239231</t>
  </si>
  <si>
    <t>BV823 .E44</t>
  </si>
  <si>
    <t>0                      BV 0823000E  44</t>
  </si>
  <si>
    <t>Eucharist and church fellowship in the first four centuries / by Werner Elert. Translated from the German by N.E.Nagel.</t>
  </si>
  <si>
    <t>Elert, Werner, 1885-1954.</t>
  </si>
  <si>
    <t>St. Louis, Concordia Pub. House [1966]</t>
  </si>
  <si>
    <t>1997-09-19</t>
  </si>
  <si>
    <t>9349892750:eng</t>
  </si>
  <si>
    <t>2814929</t>
  </si>
  <si>
    <t>991004251699702656</t>
  </si>
  <si>
    <t>2261527410002656</t>
  </si>
  <si>
    <t>32285000925304</t>
  </si>
  <si>
    <t>893904776</t>
  </si>
  <si>
    <t>BV823 .H37 1975</t>
  </si>
  <si>
    <t>0                      BV 0823000H  37          1975</t>
  </si>
  <si>
    <t>Eucharist and excommunication : a study in early Christian doctrine and discipline / Kenneth Hein.</t>
  </si>
  <si>
    <t>Hein, Kenneth.</t>
  </si>
  <si>
    <t>Bern : Herbert Lang, 1975.</t>
  </si>
  <si>
    <t>2d, rev. ed.</t>
  </si>
  <si>
    <t>European university papers. Series 23: Theology, v. 19</t>
  </si>
  <si>
    <t>1997-09-15</t>
  </si>
  <si>
    <t>1626209:eng</t>
  </si>
  <si>
    <t>2003491</t>
  </si>
  <si>
    <t>991003975449702656</t>
  </si>
  <si>
    <t>2261483400002656</t>
  </si>
  <si>
    <t>32285000131010</t>
  </si>
  <si>
    <t>893410960</t>
  </si>
  <si>
    <t>BV823 .J86 1976</t>
  </si>
  <si>
    <t>0                      BV 0823000J  86          1976</t>
  </si>
  <si>
    <t>The Mass : an historical, theological, and pastoral survey / by Josef A. Jungmann ; translated by Julian Fernandes ; edited by Mary Ellen Evans.</t>
  </si>
  <si>
    <t>Collegeville, Minn. : Liturgical Press, c1976.</t>
  </si>
  <si>
    <t>1149286798:eng</t>
  </si>
  <si>
    <t>2004501</t>
  </si>
  <si>
    <t>991003975529702656</t>
  </si>
  <si>
    <t>2258402480002656</t>
  </si>
  <si>
    <t>9780814608876</t>
  </si>
  <si>
    <t>32285000796754</t>
  </si>
  <si>
    <t>893429496</t>
  </si>
  <si>
    <t>BV823 .L329 1998</t>
  </si>
  <si>
    <t>0                      BV 0823000L  329         1998</t>
  </si>
  <si>
    <t>The breaking of the bread : the development of the Eucharist according to the Acts of the Apostles / Eugene LaVerdiere.</t>
  </si>
  <si>
    <t>Chicago, IL : Liturgy Training Publications, c1998.</t>
  </si>
  <si>
    <t>2007-12-10</t>
  </si>
  <si>
    <t>680452:eng</t>
  </si>
  <si>
    <t>38390935</t>
  </si>
  <si>
    <t>991005153359702656</t>
  </si>
  <si>
    <t>2267577220002656</t>
  </si>
  <si>
    <t>9781568541488</t>
  </si>
  <si>
    <t>32285005370993</t>
  </si>
  <si>
    <t>893694828</t>
  </si>
  <si>
    <t>BV823 .M57 1975</t>
  </si>
  <si>
    <t>0                      BV 0823000M  57          1975</t>
  </si>
  <si>
    <t>Die Lehre von der Eucharistie als Opfer : eine dogmengeschichtliche Untersuchung vom Neuen Testament bis Irenäus von Lyon / von Helmut Moll.</t>
  </si>
  <si>
    <t>Moll, Helmut.</t>
  </si>
  <si>
    <t>Köln : P. Hanstein, 1975.</t>
  </si>
  <si>
    <t>Theophaneia : Beiträge zur Religions- und Kirchengeschichte des Altertums ; 26</t>
  </si>
  <si>
    <t>2008-12-15</t>
  </si>
  <si>
    <t>1992-01-24</t>
  </si>
  <si>
    <t>365368723:ger</t>
  </si>
  <si>
    <t>2073364</t>
  </si>
  <si>
    <t>991004001029702656</t>
  </si>
  <si>
    <t>2256820430002656</t>
  </si>
  <si>
    <t>9783775612265</t>
  </si>
  <si>
    <t>32285000925411</t>
  </si>
  <si>
    <t>893349496</t>
  </si>
  <si>
    <t>BV823 .M58 1996</t>
  </si>
  <si>
    <t>0                      BV 0823000M  58          1996</t>
  </si>
  <si>
    <t>Karl Barth and the theology of the Lord's Supper : a systematic investigation / Paul D. Molnar.</t>
  </si>
  <si>
    <t>Molnar, Paul D., 1946-</t>
  </si>
  <si>
    <t>New York : P. Lang, c1996.</t>
  </si>
  <si>
    <t>Issues in systematic theology, 1081-9479 ; vol. 1</t>
  </si>
  <si>
    <t>2006-07-11</t>
  </si>
  <si>
    <t>1996-12-10</t>
  </si>
  <si>
    <t>891343793:eng</t>
  </si>
  <si>
    <t>32272480</t>
  </si>
  <si>
    <t>991002477869702656</t>
  </si>
  <si>
    <t>2261027240002656</t>
  </si>
  <si>
    <t>9780820428253</t>
  </si>
  <si>
    <t>32285002389566</t>
  </si>
  <si>
    <t>893798641</t>
  </si>
  <si>
    <t>BV823 .M59 1990</t>
  </si>
  <si>
    <t>0                      BV 0823000M  59          1990</t>
  </si>
  <si>
    <t>A body broken for a broken people : eucharist in the New Testament / Francis J. Moloney.</t>
  </si>
  <si>
    <t>Moloney, Francis J.</t>
  </si>
  <si>
    <t>Melbourne, Australia : Collins Dove, 1990.</t>
  </si>
  <si>
    <t>1992-03-25</t>
  </si>
  <si>
    <t>20880511:eng</t>
  </si>
  <si>
    <t>27598186</t>
  </si>
  <si>
    <t>991001902319702656</t>
  </si>
  <si>
    <t>2270532990002656</t>
  </si>
  <si>
    <t>9780859248921</t>
  </si>
  <si>
    <t>32285000939982</t>
  </si>
  <si>
    <t>893256609</t>
  </si>
  <si>
    <t>BV823 .R34 1972</t>
  </si>
  <si>
    <t>0                      BV 0823000R  34          1972</t>
  </si>
  <si>
    <t>The eucharistic theology of Theodore Beza : development of the Reformed doctrine / by Jill Raitt.</t>
  </si>
  <si>
    <t>Raitt, Jill.</t>
  </si>
  <si>
    <t>Atlanta, Georgia : Scholars Press ; Chambersburg, Pa. : American Academy of Religion, 1972.</t>
  </si>
  <si>
    <t>Studies in religion (American Academy of Religion) ; no. 4</t>
  </si>
  <si>
    <t>2744406:eng</t>
  </si>
  <si>
    <t>1874117</t>
  </si>
  <si>
    <t>991003922409702656</t>
  </si>
  <si>
    <t>2261963870002656</t>
  </si>
  <si>
    <t>32285000925429</t>
  </si>
  <si>
    <t>893519040</t>
  </si>
  <si>
    <t>BV823 .S2913 1982</t>
  </si>
  <si>
    <t>0                      BV 0823000S  2913        1982</t>
  </si>
  <si>
    <t>The problem of the Lord's Supper according to the scholarly research of the nineteenth century and the historical accounts : volume 1 [of] The Lord's Supper in relationship to the life of Jesus and the history of the early Church / by Albert Schweitzer ; translated by A.J. Mattill, Jr. ; edited with an introduction by John Reumann.</t>
  </si>
  <si>
    <t>Macon, Ga. : Mercer University Press, c1982.</t>
  </si>
  <si>
    <t>344007447:eng</t>
  </si>
  <si>
    <t>8169880</t>
  </si>
  <si>
    <t>991005211829702656</t>
  </si>
  <si>
    <t>2269773160002656</t>
  </si>
  <si>
    <t>9780865540255</t>
  </si>
  <si>
    <t>32285000925437</t>
  </si>
  <si>
    <t>893242381</t>
  </si>
  <si>
    <t>BV823 .S313</t>
  </si>
  <si>
    <t>0                      BV 0823000S  313</t>
  </si>
  <si>
    <t>The Lord's Supper according to the New Testament / by Eduard Schweizer. Translated by James M. Davis.</t>
  </si>
  <si>
    <t>Philadelphia, Fortress Press [1967]</t>
  </si>
  <si>
    <t>Facet books. Biblical series ; 18</t>
  </si>
  <si>
    <t>1468089:eng</t>
  </si>
  <si>
    <t>339353</t>
  </si>
  <si>
    <t>991002410349702656</t>
  </si>
  <si>
    <t>2259127240002656</t>
  </si>
  <si>
    <t>32285001795730</t>
  </si>
  <si>
    <t>893517253</t>
  </si>
  <si>
    <t>BV823 .S74 1986</t>
  </si>
  <si>
    <t>0                      BV 0823000S  74          1986</t>
  </si>
  <si>
    <t>Eucharist and offering / Kenneth W. Stevenson.</t>
  </si>
  <si>
    <t>New York : Pueblo, c1986.</t>
  </si>
  <si>
    <t>351545503:eng</t>
  </si>
  <si>
    <t>14817887</t>
  </si>
  <si>
    <t>991000960049702656</t>
  </si>
  <si>
    <t>2263276400002656</t>
  </si>
  <si>
    <t>9780916134778</t>
  </si>
  <si>
    <t>32285000925452</t>
  </si>
  <si>
    <t>893243753</t>
  </si>
  <si>
    <t>BV823 .Z5913 2001</t>
  </si>
  <si>
    <t>0                      BV 0823000Z  5913        2001</t>
  </si>
  <si>
    <t>Eucharist, bishop, church : the unity of the church in the divine Eucharist and the bishop during the first three centuries / John D. Zizioulas ; translated by Elizabeth Theokritoff.</t>
  </si>
  <si>
    <t>Zizioulas, Jean, 1931-</t>
  </si>
  <si>
    <t>Brookline, Mass. : Holy Cross Orthodox Press, c2001.</t>
  </si>
  <si>
    <t>2008-01-31</t>
  </si>
  <si>
    <t>33981840:eng</t>
  </si>
  <si>
    <t>46472160</t>
  </si>
  <si>
    <t>991005178859702656</t>
  </si>
  <si>
    <t>2262654580002656</t>
  </si>
  <si>
    <t>9781885652430</t>
  </si>
  <si>
    <t>32285005391676</t>
  </si>
  <si>
    <t>893713579</t>
  </si>
  <si>
    <t>BV825 .D35 1903</t>
  </si>
  <si>
    <t>0                      BV 0825000D  35          1903</t>
  </si>
  <si>
    <t>Holy Communion : its philosophy, theology and practice.</t>
  </si>
  <si>
    <t>Dalgairns, John Bernard, 1818-1876.</t>
  </si>
  <si>
    <t>James Duffy and Co., 1903.</t>
  </si>
  <si>
    <t>2008-07-19</t>
  </si>
  <si>
    <t>7523119:eng</t>
  </si>
  <si>
    <t>13780335</t>
  </si>
  <si>
    <t>991000869479702656</t>
  </si>
  <si>
    <t>2271136870002656</t>
  </si>
  <si>
    <t>32285000925478</t>
  </si>
  <si>
    <t>893683821</t>
  </si>
  <si>
    <t>BV825 .H69 1912</t>
  </si>
  <si>
    <t>0                      BV 0825000H  69          1912</t>
  </si>
  <si>
    <t>Simple instructions on the Holy Eucharist : as sacrament and sacrifice / by Geo. Edw. Howe.</t>
  </si>
  <si>
    <t>Howe, George Edward.</t>
  </si>
  <si>
    <t>Newcastle-on-Tyne : J.J. Longhurst ; London : Washbourne, 1912.</t>
  </si>
  <si>
    <t>1912</t>
  </si>
  <si>
    <t>1993-11-28</t>
  </si>
  <si>
    <t>18508020:eng</t>
  </si>
  <si>
    <t>3348717</t>
  </si>
  <si>
    <t>991004412579702656</t>
  </si>
  <si>
    <t>2265031290002656</t>
  </si>
  <si>
    <t>32285001074540</t>
  </si>
  <si>
    <t>893904845</t>
  </si>
  <si>
    <t>BV825.2 .A713</t>
  </si>
  <si>
    <t>0                      BV 0825200A  713</t>
  </si>
  <si>
    <t>The Lord's Supper / by Jean-Jacques von Allmen.</t>
  </si>
  <si>
    <t>Allmen, Jean-Jacques von, 1917-1994.</t>
  </si>
  <si>
    <t>Richmond, Va. : John Knox Press, [1969]</t>
  </si>
  <si>
    <t>Ecumenical studies in worship ; no. 19</t>
  </si>
  <si>
    <t>1996-11-21</t>
  </si>
  <si>
    <t>1991-09-06</t>
  </si>
  <si>
    <t>10568011267:eng</t>
  </si>
  <si>
    <t>31347</t>
  </si>
  <si>
    <t>991000079799702656</t>
  </si>
  <si>
    <t>2261040480002656</t>
  </si>
  <si>
    <t>32285000702463</t>
  </si>
  <si>
    <t>893890384</t>
  </si>
  <si>
    <t>BV825.2 .B528</t>
  </si>
  <si>
    <t>0                      BV 0825200B  528</t>
  </si>
  <si>
    <t>Bread broken and shared : broadening our vision of Eucharist / Paul Bernier.</t>
  </si>
  <si>
    <t>Bernier, Paul.</t>
  </si>
  <si>
    <t>Notre Dame, Ind. : Ave Maria Press, c1981.</t>
  </si>
  <si>
    <t>2000-11-14</t>
  </si>
  <si>
    <t>537193:eng</t>
  </si>
  <si>
    <t>7850300</t>
  </si>
  <si>
    <t>991005170039702656</t>
  </si>
  <si>
    <t>2269228660002656</t>
  </si>
  <si>
    <t>9780877932314</t>
  </si>
  <si>
    <t>32285000113828</t>
  </si>
  <si>
    <t>893877050</t>
  </si>
  <si>
    <t>BV825.2 .D385 1993</t>
  </si>
  <si>
    <t>0                      BV 0825200D  385         1993</t>
  </si>
  <si>
    <t>Bread of life and cup of joy : newer ecumenical perspectives on the eucharist / Horton Davies.</t>
  </si>
  <si>
    <t>Davies, Horton.</t>
  </si>
  <si>
    <t>Grand Rapids, Mich. : W.B. Eerdmans, c1993.</t>
  </si>
  <si>
    <t>1994-06-28</t>
  </si>
  <si>
    <t>29658406:eng</t>
  </si>
  <si>
    <t>26929623</t>
  </si>
  <si>
    <t>991002098319702656</t>
  </si>
  <si>
    <t>2256876220002656</t>
  </si>
  <si>
    <t>9780802802521</t>
  </si>
  <si>
    <t>32285001924884</t>
  </si>
  <si>
    <t>893792032</t>
  </si>
  <si>
    <t>BV825.2 .D6 1984</t>
  </si>
  <si>
    <t>0                      BV 0825200D  6           1984</t>
  </si>
  <si>
    <t>Say but the word : how the Lord's Supper can transform your life / Theodore E. Dobson.</t>
  </si>
  <si>
    <t>Dobson, Theodore Elliott.</t>
  </si>
  <si>
    <t>256689184:eng</t>
  </si>
  <si>
    <t>11241298</t>
  </si>
  <si>
    <t>991000511599702656</t>
  </si>
  <si>
    <t>2269861400002656</t>
  </si>
  <si>
    <t>9780809103553</t>
  </si>
  <si>
    <t>32285000925510</t>
  </si>
  <si>
    <t>893683482</t>
  </si>
  <si>
    <t>BV825.2 .E28 1983</t>
  </si>
  <si>
    <t>0                      BV 0825200E  28          1983</t>
  </si>
  <si>
    <t>Ecumenical perspectives on baptism, eucharist and ministry / edited by Max Thurian.</t>
  </si>
  <si>
    <t>Geneva : World Council of Churches, c1983.</t>
  </si>
  <si>
    <t>Faith and order paper ; no. 116</t>
  </si>
  <si>
    <t>2004-04-23</t>
  </si>
  <si>
    <t>115727052:eng</t>
  </si>
  <si>
    <t>9862392</t>
  </si>
  <si>
    <t>991000271429702656</t>
  </si>
  <si>
    <t>2269922340002656</t>
  </si>
  <si>
    <t>9782825407585</t>
  </si>
  <si>
    <t>32285000925528</t>
  </si>
  <si>
    <t>893314809</t>
  </si>
  <si>
    <t>BV825.2 .F35 1996</t>
  </si>
  <si>
    <t>0                      BV 0825200F  35          1996</t>
  </si>
  <si>
    <t>A holy and living sacrifice : the eucharist in Christian perspective / Ernest Falardeau.</t>
  </si>
  <si>
    <t>Falardeau, Ernest R.</t>
  </si>
  <si>
    <t>Collegeville, Minn. : Liturgical Press, c1996.</t>
  </si>
  <si>
    <t>2004-10-24</t>
  </si>
  <si>
    <t>1997-05-21</t>
  </si>
  <si>
    <t>2048997541:eng</t>
  </si>
  <si>
    <t>32625720</t>
  </si>
  <si>
    <t>991002508719702656</t>
  </si>
  <si>
    <t>2269162250002656</t>
  </si>
  <si>
    <t>9780814623299</t>
  </si>
  <si>
    <t>32285002610342</t>
  </si>
  <si>
    <t>893445206</t>
  </si>
  <si>
    <t>BV825.2 .K54 1983</t>
  </si>
  <si>
    <t>0                      BV 0825200K  54          1983</t>
  </si>
  <si>
    <t>The Eucharist in Bible and Liturgy / G.D. Kilpatrick.</t>
  </si>
  <si>
    <t>Kilpatrick, George Dunbar.</t>
  </si>
  <si>
    <t>Cambridge [Cambridgeshire] ; New York : Cambridge University Press, 1983.</t>
  </si>
  <si>
    <t>The Moorhouse lectures ; 1975</t>
  </si>
  <si>
    <t>2004-11-22</t>
  </si>
  <si>
    <t>43580298:eng</t>
  </si>
  <si>
    <t>9731550</t>
  </si>
  <si>
    <t>991000247979702656</t>
  </si>
  <si>
    <t>2272472010002656</t>
  </si>
  <si>
    <t>9780521246750</t>
  </si>
  <si>
    <t>32285000925551</t>
  </si>
  <si>
    <t>893237191</t>
  </si>
  <si>
    <t>BV825.2 .M39 1997</t>
  </si>
  <si>
    <t>0                      BV 0825200M  39          1997</t>
  </si>
  <si>
    <t>The Lord's Supper / Martin E. Marty.</t>
  </si>
  <si>
    <t>Minneapolis : Augsburg, c1997.</t>
  </si>
  <si>
    <t>Expanded ed.</t>
  </si>
  <si>
    <t>3857837957:eng</t>
  </si>
  <si>
    <t>36343296</t>
  </si>
  <si>
    <t>991004263849702656</t>
  </si>
  <si>
    <t>2271945780002656</t>
  </si>
  <si>
    <t>9780806633398</t>
  </si>
  <si>
    <t>32285004894811</t>
  </si>
  <si>
    <t>893875883</t>
  </si>
  <si>
    <t>BV825.2 .R36 1991</t>
  </si>
  <si>
    <t>0                      BV 0825200R  36          1991</t>
  </si>
  <si>
    <t>Words around the table / by Gail Ramshaw ; art by Linda Ekstrom.</t>
  </si>
  <si>
    <t>Chicago : Liturgy Training Publications, c1991.</t>
  </si>
  <si>
    <t>26356340:eng</t>
  </si>
  <si>
    <t>24759379</t>
  </si>
  <si>
    <t>991004295819702656</t>
  </si>
  <si>
    <t>2259148650002656</t>
  </si>
  <si>
    <t>9780929650289</t>
  </si>
  <si>
    <t>32285004904198</t>
  </si>
  <si>
    <t>893513062</t>
  </si>
  <si>
    <t>BV825.2 .R47 1985</t>
  </si>
  <si>
    <t>0                      BV 0825200R  47          1985</t>
  </si>
  <si>
    <t>The Supper of the Lord : the New Testament, ecumenical dialogues, and faith and order on Eucharist / John Reumann.</t>
  </si>
  <si>
    <t>Reumann, John.</t>
  </si>
  <si>
    <t>Philadelphia : Fortress Press, c1985.</t>
  </si>
  <si>
    <t>889320737:eng</t>
  </si>
  <si>
    <t>10913687</t>
  </si>
  <si>
    <t>991000455389702656</t>
  </si>
  <si>
    <t>2258646790002656</t>
  </si>
  <si>
    <t>9780800618162</t>
  </si>
  <si>
    <t>32285000925577</t>
  </si>
  <si>
    <t>893243262</t>
  </si>
  <si>
    <t>BV825.2 .T5313 1984</t>
  </si>
  <si>
    <t>0                      BV 0825200T  5313        1984</t>
  </si>
  <si>
    <t>The mystery of the Eucharist : an ecumenical approach / by Max Thurian ; translated by Emily Chisholm.</t>
  </si>
  <si>
    <t>Grand Rapids, Mich. : W.B. Eerdmans Pub. Co., 1984.</t>
  </si>
  <si>
    <t>1997-04-22</t>
  </si>
  <si>
    <t>803579:eng</t>
  </si>
  <si>
    <t>10913115</t>
  </si>
  <si>
    <t>991000454399702656</t>
  </si>
  <si>
    <t>2259019850002656</t>
  </si>
  <si>
    <t>9780802800282</t>
  </si>
  <si>
    <t>32285000925585</t>
  </si>
  <si>
    <t>893714597</t>
  </si>
  <si>
    <t>BV825.2 .T68 1988</t>
  </si>
  <si>
    <t>0                      BV 0825200T  68          1988</t>
  </si>
  <si>
    <t>Inculturation : the Eucharist in Africa / by Phillip Tovey.</t>
  </si>
  <si>
    <t>Tovey, Phillip.</t>
  </si>
  <si>
    <t>Bramcote, Nottingham : Grove Books, c1988.</t>
  </si>
  <si>
    <t>Alcuin/GROW liturgical study, 0951-2667 ; 7</t>
  </si>
  <si>
    <t>2004-03-11</t>
  </si>
  <si>
    <t>1994-07-21</t>
  </si>
  <si>
    <t>322411240:eng</t>
  </si>
  <si>
    <t>18822514</t>
  </si>
  <si>
    <t>991001401289702656</t>
  </si>
  <si>
    <t>2255879020002656</t>
  </si>
  <si>
    <t>9781851740918</t>
  </si>
  <si>
    <t>32285001932317</t>
  </si>
  <si>
    <t>893772578</t>
  </si>
  <si>
    <t>BV825.2 .W26 1981</t>
  </si>
  <si>
    <t>0                      BV 0825200W  26          1981</t>
  </si>
  <si>
    <t>Eucharist and eschatology / Geoffrey Wainwright.</t>
  </si>
  <si>
    <t>Wainwright, Geoffrey, 1939-</t>
  </si>
  <si>
    <t>New York : Oxford University Press, 1981.</t>
  </si>
  <si>
    <t>1991-06-26</t>
  </si>
  <si>
    <t>415438:eng</t>
  </si>
  <si>
    <t>7459363</t>
  </si>
  <si>
    <t>991005112409702656</t>
  </si>
  <si>
    <t>2255377560002656</t>
  </si>
  <si>
    <t>9780195202489</t>
  </si>
  <si>
    <t>32285000659069</t>
  </si>
  <si>
    <t>893230221</t>
  </si>
  <si>
    <t>BV825.2 .W3</t>
  </si>
  <si>
    <t>0                      BV 0825200W  3</t>
  </si>
  <si>
    <t>Le Sacrifice dans les textes eucharistiques des premiers siècles / [par] J. de Watteville.</t>
  </si>
  <si>
    <t>Watteville, Jean François Noël de.</t>
  </si>
  <si>
    <t>Neuchâtel, Paris, Delachaux et Niestlé, 1966.</t>
  </si>
  <si>
    <t>Bibliothèque théologique</t>
  </si>
  <si>
    <t>1992-07-10</t>
  </si>
  <si>
    <t>377298065:fre</t>
  </si>
  <si>
    <t>6517791</t>
  </si>
  <si>
    <t>991004996029702656</t>
  </si>
  <si>
    <t>2272005420002656</t>
  </si>
  <si>
    <t>32285000925593</t>
  </si>
  <si>
    <t>893254307</t>
  </si>
  <si>
    <t>BV825.5 .P7 1980</t>
  </si>
  <si>
    <t>0                      BV 0825500P  7           1980</t>
  </si>
  <si>
    <t>Prayers of the Eucharist : early and reformed texts / translated and edited by R. C. D. Jasper and G. J. Cuming.</t>
  </si>
  <si>
    <t>New York : Oxford University Press, 1980.</t>
  </si>
  <si>
    <t>2d ed.</t>
  </si>
  <si>
    <t>9093825159:eng</t>
  </si>
  <si>
    <t>5564256</t>
  </si>
  <si>
    <t>991004845639702656</t>
  </si>
  <si>
    <t>2266474300002656</t>
  </si>
  <si>
    <t>9780195201406</t>
  </si>
  <si>
    <t>32285000111442</t>
  </si>
  <si>
    <t>893319705</t>
  </si>
  <si>
    <t>BV825.5 .S23 1981</t>
  </si>
  <si>
    <t>0                      BV 0825500S  23          1981</t>
  </si>
  <si>
    <t>The Sacrifice of praise : studies on the themes of thanksgiving and redemption in the central prayers of the eucharistic and baptismal liturgies : in honour of Arthur Hubert Couratin / edited by Bryan D. Spinks ; [writings by] M. Melrose ... [et al.].</t>
  </si>
  <si>
    <t>Roma : C.L.V.--Edizioni liturgiche, 1981.</t>
  </si>
  <si>
    <t>Bibliotheca "Ephemerides liturgicae." Subsidia ; 19</t>
  </si>
  <si>
    <t>807142300:eng</t>
  </si>
  <si>
    <t>7985409</t>
  </si>
  <si>
    <t>991005188859702656</t>
  </si>
  <si>
    <t>2256190490002656</t>
  </si>
  <si>
    <t>32285000925627</t>
  </si>
  <si>
    <t>893776996</t>
  </si>
  <si>
    <t>BV825.54 .M3913 1995</t>
  </si>
  <si>
    <t>0                      BV 0825540M  3913        1995</t>
  </si>
  <si>
    <t>The origins of the Eucharistic prayer / Enrico Mazza ; translated by Ronald E. Lane.</t>
  </si>
  <si>
    <t>Mazza, Enrico.</t>
  </si>
  <si>
    <t>Collegeville, Minn. : Liturgical Press, c1995</t>
  </si>
  <si>
    <t>1997-09-11</t>
  </si>
  <si>
    <t>1997-02-12</t>
  </si>
  <si>
    <t>33939056:eng</t>
  </si>
  <si>
    <t>32015546</t>
  </si>
  <si>
    <t>991002456499702656</t>
  </si>
  <si>
    <t>2254834080002656</t>
  </si>
  <si>
    <t>9780814661192</t>
  </si>
  <si>
    <t>32285002430543</t>
  </si>
  <si>
    <t>893716478</t>
  </si>
  <si>
    <t>BV835 .B65 2001</t>
  </si>
  <si>
    <t>0                      BV 0835000B  65          2001</t>
  </si>
  <si>
    <t>The book of marriage : the wisest answers to the toughest questions / edited by Dana Mack &amp; David Blankenhorn.</t>
  </si>
  <si>
    <t>Grand Rapids, Mich. : William B. Eerdmans Pub., c2001.</t>
  </si>
  <si>
    <t>Religion, marriage, and family</t>
  </si>
  <si>
    <t>2009-05-04</t>
  </si>
  <si>
    <t>2001-10-13</t>
  </si>
  <si>
    <t>836948601:eng</t>
  </si>
  <si>
    <t>45284665</t>
  </si>
  <si>
    <t>991003620149702656</t>
  </si>
  <si>
    <t>2272686670002656</t>
  </si>
  <si>
    <t>9780802838964</t>
  </si>
  <si>
    <t>32285004396007</t>
  </si>
  <si>
    <t>893416583</t>
  </si>
  <si>
    <t>BV835 .D65 1982</t>
  </si>
  <si>
    <t>0                      BV 0835000D  65          1982</t>
  </si>
  <si>
    <t>Marriage, faith, and love / Jack Dominian.</t>
  </si>
  <si>
    <t>2009-10-05</t>
  </si>
  <si>
    <t>2004-04-26</t>
  </si>
  <si>
    <t>420632:eng</t>
  </si>
  <si>
    <t>8241292</t>
  </si>
  <si>
    <t>991004282149702656</t>
  </si>
  <si>
    <t>2265741170002656</t>
  </si>
  <si>
    <t>9780824504250</t>
  </si>
  <si>
    <t>32285004902499</t>
  </si>
  <si>
    <t>893869536</t>
  </si>
  <si>
    <t>BV840 .F38 1988</t>
  </si>
  <si>
    <t>0                      BV 0840000F  38          1988</t>
  </si>
  <si>
    <t>The order of penitents : historical roots and pastoral future / Joseph A. Favazza ; foreword by James Lopresti.</t>
  </si>
  <si>
    <t>Favazza, Joseph A., 1954-</t>
  </si>
  <si>
    <t>Collegeville, MN : Liturgical Press, 1988.</t>
  </si>
  <si>
    <t>2002-02-23</t>
  </si>
  <si>
    <t>889714542:eng</t>
  </si>
  <si>
    <t>17807441</t>
  </si>
  <si>
    <t>991001267119702656</t>
  </si>
  <si>
    <t>2266952870002656</t>
  </si>
  <si>
    <t>9780814615423</t>
  </si>
  <si>
    <t>32285000925700</t>
  </si>
  <si>
    <t>893503256</t>
  </si>
  <si>
    <t>BV840 .F58 1988</t>
  </si>
  <si>
    <t>0                      BV 0840000F  58          1988</t>
  </si>
  <si>
    <t>Conversion through penance in the Italian church of the fourth and fifth centuries : new approaches to the experience of conversion from sin / Allan Fitzgerald.</t>
  </si>
  <si>
    <t>Fitzgerald, Allan.</t>
  </si>
  <si>
    <t>Lewiston, N.Y. : E. Mellen Press, c1988.</t>
  </si>
  <si>
    <t>Studies in the Bible and early Christianity ; v. 15</t>
  </si>
  <si>
    <t>1991-01-28</t>
  </si>
  <si>
    <t>467746616:eng</t>
  </si>
  <si>
    <t>17842254</t>
  </si>
  <si>
    <t>991001272689702656</t>
  </si>
  <si>
    <t>2260560050002656</t>
  </si>
  <si>
    <t>9780889466159</t>
  </si>
  <si>
    <t>32285000461771</t>
  </si>
  <si>
    <t>893797443</t>
  </si>
  <si>
    <t>BV845 .V34 1948</t>
  </si>
  <si>
    <t>0                      BV 0845000V  34          1948</t>
  </si>
  <si>
    <t>For better for worse : three social sacraments / by Ferdinand Valentine, O.P.</t>
  </si>
  <si>
    <t>Valentine, F. C. (Ferdinand Charles), 1851-1909.</t>
  </si>
  <si>
    <t>Oxford : Blackfriars [1948]</t>
  </si>
  <si>
    <t>The fourth Theophila correspondence</t>
  </si>
  <si>
    <t>1995-02-24</t>
  </si>
  <si>
    <t>193061329:eng</t>
  </si>
  <si>
    <t>6646382</t>
  </si>
  <si>
    <t>991005019289702656</t>
  </si>
  <si>
    <t>2265202440002656</t>
  </si>
  <si>
    <t>32285001074557</t>
  </si>
  <si>
    <t>893319895</t>
  </si>
  <si>
    <t>BV85 .F6413 1939</t>
  </si>
  <si>
    <t>0                      BV 0085000F  6413        1939</t>
  </si>
  <si>
    <t>Lent and Easter : the church's spring / Hermann Franke ; translated by the Benedictines of St. John's Abbey, Collegeville, Minnesota.</t>
  </si>
  <si>
    <t>Franke, Hermann, 1908-</t>
  </si>
  <si>
    <t>London : Geo. E.J. Coldwell, 1939.</t>
  </si>
  <si>
    <t>1939</t>
  </si>
  <si>
    <t>1998-03-22</t>
  </si>
  <si>
    <t>424051875:eng</t>
  </si>
  <si>
    <t>10144640</t>
  </si>
  <si>
    <t>991000318849702656</t>
  </si>
  <si>
    <t>2260799320002656</t>
  </si>
  <si>
    <t>32285000835206</t>
  </si>
  <si>
    <t>893320963</t>
  </si>
  <si>
    <t>BV85 .H46 1994</t>
  </si>
  <si>
    <t>0                      BV 0085000H  46          1994</t>
  </si>
  <si>
    <t>The ascent of the mountain of God : daily reflections for the journey of Lent / Edward Hays.</t>
  </si>
  <si>
    <t>Hays, Edward M.</t>
  </si>
  <si>
    <t>Leavenworth, KS : Forest of Peace Pub., c1994.</t>
  </si>
  <si>
    <t>ksu</t>
  </si>
  <si>
    <t>2000-06-30</t>
  </si>
  <si>
    <t>1995-03-07</t>
  </si>
  <si>
    <t>4812393411:eng</t>
  </si>
  <si>
    <t>31132022</t>
  </si>
  <si>
    <t>991002395719702656</t>
  </si>
  <si>
    <t>2271367830002656</t>
  </si>
  <si>
    <t>9780939516261</t>
  </si>
  <si>
    <t>32285002006582</t>
  </si>
  <si>
    <t>893886222</t>
  </si>
  <si>
    <t>BV85 .K385 1999</t>
  </si>
  <si>
    <t>0                      BV 0085000K  385         1999</t>
  </si>
  <si>
    <t>Journey to the center : a Lenten passage / Thomas Keating.</t>
  </si>
  <si>
    <t>New York : Crossroad Pub., c1999.</t>
  </si>
  <si>
    <t>2004-02-27</t>
  </si>
  <si>
    <t>1999-02-10</t>
  </si>
  <si>
    <t>42218904:eng</t>
  </si>
  <si>
    <t>39180849</t>
  </si>
  <si>
    <t>991002942389702656</t>
  </si>
  <si>
    <t>2270965540002656</t>
  </si>
  <si>
    <t>9780824517038</t>
  </si>
  <si>
    <t>32285003518965</t>
  </si>
  <si>
    <t>893698467</t>
  </si>
  <si>
    <t>BV85 .P575 1964</t>
  </si>
  <si>
    <t>0                      BV 0085000P  575         1964</t>
  </si>
  <si>
    <t>Times of grace : the sign of forty in the Bible / Roger Poelman. [Translated from the French by D.P. Farina.</t>
  </si>
  <si>
    <t>Poelman, Roger, 1911-</t>
  </si>
  <si>
    <t>New York] : Herder and Herder, [1964]</t>
  </si>
  <si>
    <t>503694866:eng</t>
  </si>
  <si>
    <t>1420714</t>
  </si>
  <si>
    <t>991003747999702656</t>
  </si>
  <si>
    <t>2268900660002656</t>
  </si>
  <si>
    <t>32285000835248</t>
  </si>
  <si>
    <t>893810149</t>
  </si>
  <si>
    <t>BV860 .B3</t>
  </si>
  <si>
    <t>0                      BV 0860000B  3</t>
  </si>
  <si>
    <t>The theology of the sacraments : and other papers / Donald M. Baillie. With a biographical essay by John Baillie.</t>
  </si>
  <si>
    <t>Baillie, D. M. (Donald Macpherson), 1887-1954.</t>
  </si>
  <si>
    <t>New York, Scribner [1957]</t>
  </si>
  <si>
    <t>1097376008:eng</t>
  </si>
  <si>
    <t>384785</t>
  </si>
  <si>
    <t>991002642269702656</t>
  </si>
  <si>
    <t>2258570000002656</t>
  </si>
  <si>
    <t>32285000925783</t>
  </si>
  <si>
    <t>893421623</t>
  </si>
  <si>
    <t>BV873.I54 J64 1999</t>
  </si>
  <si>
    <t>0                      BV 0873000I  54                 J  64          1999</t>
  </si>
  <si>
    <t>The rites of Christian initiation : their evolution and interpretation / Maxwell E. Johnson.</t>
  </si>
  <si>
    <t>Johnson, Maxwell E., 1952-</t>
  </si>
  <si>
    <t>Collegeville, Minn. : Liturgical Press, c1999.</t>
  </si>
  <si>
    <t>2007-04-23</t>
  </si>
  <si>
    <t>866063080:eng</t>
  </si>
  <si>
    <t>39257163</t>
  </si>
  <si>
    <t>991005068729702656</t>
  </si>
  <si>
    <t>2262411210002656</t>
  </si>
  <si>
    <t>9780814660119</t>
  </si>
  <si>
    <t>32285005289276</t>
  </si>
  <si>
    <t>893254398</t>
  </si>
  <si>
    <t>BV875 .E44 1933</t>
  </si>
  <si>
    <t>0                      BV 0875000E  44          1933</t>
  </si>
  <si>
    <t>Ordination anointings in the Western church before 1000 A.D. / Gerald Ellard.</t>
  </si>
  <si>
    <t>Ellard, Gerald, 1894-1963.</t>
  </si>
  <si>
    <t>Cambridge, Mass. : Mediaeval Academy of America, 1933.</t>
  </si>
  <si>
    <t>Academy publications ; no. 16</t>
  </si>
  <si>
    <t>1997-04-17</t>
  </si>
  <si>
    <t>4086945:eng</t>
  </si>
  <si>
    <t>7379399</t>
  </si>
  <si>
    <t>991005108539702656</t>
  </si>
  <si>
    <t>2270102950002656</t>
  </si>
  <si>
    <t>32285000925817</t>
  </si>
  <si>
    <t>893625463</t>
  </si>
  <si>
    <t>BV890 .B46 1985</t>
  </si>
  <si>
    <t>0                      BV 0890000B  46          1985</t>
  </si>
  <si>
    <t>Restless bones : the story of relics / James Bentley.</t>
  </si>
  <si>
    <t>Bentley, James, 1937-2000.</t>
  </si>
  <si>
    <t>London : Constable, 1985.</t>
  </si>
  <si>
    <t>9035070:eng</t>
  </si>
  <si>
    <t>14241254</t>
  </si>
  <si>
    <t>991000692459702656</t>
  </si>
  <si>
    <t>2255616550002656</t>
  </si>
  <si>
    <t>9780094658509</t>
  </si>
  <si>
    <t>32285000925825</t>
  </si>
  <si>
    <t>893339794</t>
  </si>
  <si>
    <t>BV895 .S54 2001</t>
  </si>
  <si>
    <t>0                      BV 0895000S  54          2001</t>
  </si>
  <si>
    <t>Spaces for the sacred : place, memory, and identity / Philip Sheldrake.</t>
  </si>
  <si>
    <t>Sheldrake, Philip.</t>
  </si>
  <si>
    <t>Baltimore : Johns Hopkins University Press, 2001.</t>
  </si>
  <si>
    <t>2008-01-02</t>
  </si>
  <si>
    <t>2005-11-16</t>
  </si>
  <si>
    <t>837020693:eng</t>
  </si>
  <si>
    <t>47240764</t>
  </si>
  <si>
    <t>991004685179702656</t>
  </si>
  <si>
    <t>2258422770002656</t>
  </si>
  <si>
    <t>9780801868610</t>
  </si>
  <si>
    <t>32285005147284</t>
  </si>
  <si>
    <t>893436594</t>
  </si>
  <si>
    <t>BV896.P19 T39 1993</t>
  </si>
  <si>
    <t>0                      BV 0896000P  19                 T  39          1993</t>
  </si>
  <si>
    <t>Christians and the holy places : the myth of Jewish-Christian origins / Joan E. Taylor.</t>
  </si>
  <si>
    <t>Taylor, Joan E.</t>
  </si>
  <si>
    <t>Oxford : Clarendon Press ; Oxford ; New York : Oxford University Press, c1993.</t>
  </si>
  <si>
    <t>1998-11-24</t>
  </si>
  <si>
    <t>1993-10-21</t>
  </si>
  <si>
    <t>29066483:eng</t>
  </si>
  <si>
    <t>26094341</t>
  </si>
  <si>
    <t>991002043739702656</t>
  </si>
  <si>
    <t>2269245860002656</t>
  </si>
  <si>
    <t>9780198147855</t>
  </si>
  <si>
    <t>32285001787190</t>
  </si>
  <si>
    <t>893232498</t>
  </si>
  <si>
    <t>BV94 .M32 1944</t>
  </si>
  <si>
    <t>0                      BV 0094000M  32          1944</t>
  </si>
  <si>
    <t>The eucharist : the mystery of Holy Thursday / by François Mauriac, translated by Marie-Louise Dufrenoy, with an introduction by Thomas F. Burke, C. S. P.</t>
  </si>
  <si>
    <t>Mauriac, François, 1885-1970.</t>
  </si>
  <si>
    <t>New York ; Toronto : Longmans, Green and co., 1944.</t>
  </si>
  <si>
    <t>Golden measure books</t>
  </si>
  <si>
    <t>1992-09-27</t>
  </si>
  <si>
    <t>1432226:eng</t>
  </si>
  <si>
    <t>405815</t>
  </si>
  <si>
    <t>991002701689702656</t>
  </si>
  <si>
    <t>2260453570002656</t>
  </si>
  <si>
    <t>32285000835297</t>
  </si>
  <si>
    <t>893329421</t>
  </si>
  <si>
    <t>Keep in Collection? (Yes/No)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</si>
</sst>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color theme="1"/>
      <name val="Calibri"/>
      <family val="2"/>
      <scheme val="minor"/>
    </font>
    <font>
      <u/>
      <sz val="11"/>
      <color rgb="FF0000FF"/>
      <name val="Calibri"/>
      <family val="2"/>
      <scheme val="minor"/>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horizontal="center" vertical="center" wrapText="1"/>
    </xf>
    <xf numFmtId="0" fontId="0" fillId="0" borderId="0" xfId="0" applyAlignment="1">
      <alignment vertical="center" wrapText="1"/>
    </xf>
    <xf numFmtId="49" fontId="0" fillId="0" borderId="0" xfId="0" applyNumberFormat="1"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0" fontId="2" fillId="0" borderId="0" xfId="0" applyFont="1" applyAlignment="1">
      <alignment horizontal="center" vertical="center" wrapText="1"/>
    </xf>
    <xf numFmtId="0" fontId="0" fillId="0" borderId="0" xfId="0" applyProtection="1">
      <protection locked="0"/>
    </xf>
    <xf numFmtId="0" fontId="1" fillId="2" borderId="0" xfId="0" applyFont="1" applyFill="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CCC8B-1941-46CF-891D-4DC9B337A5D9}">
  <dimension ref="A1:BD1193"/>
  <sheetViews>
    <sheetView tabSelected="1" workbookViewId="0">
      <pane ySplit="1" topLeftCell="A2" activePane="bottomLeft" state="frozen"/>
      <selection pane="bottomLeft" activeCell="D2" sqref="D2"/>
    </sheetView>
  </sheetViews>
  <sheetFormatPr defaultRowHeight="39" customHeight="1" x14ac:dyDescent="0.25"/>
  <cols>
    <col min="1" max="1" width="15.7109375" customWidth="1"/>
    <col min="2" max="2" width="16.7109375" customWidth="1"/>
    <col min="3" max="3" width="4.28515625" hidden="1" customWidth="1"/>
    <col min="4" max="4" width="41" customWidth="1"/>
    <col min="6" max="10" width="0" hidden="1" customWidth="1"/>
    <col min="11" max="11" width="27.5703125" customWidth="1"/>
    <col min="12" max="12" width="23.7109375" customWidth="1"/>
    <col min="14" max="17" width="0" hidden="1" customWidth="1"/>
    <col min="20" max="26" width="0" hidden="1" customWidth="1"/>
    <col min="28" max="28" width="0" hidden="1" customWidth="1"/>
    <col min="30" max="30" width="0" hidden="1" customWidth="1"/>
    <col min="31" max="31" width="14.7109375" customWidth="1"/>
    <col min="32" max="41" width="0" hidden="1" customWidth="1"/>
    <col min="42" max="42" width="10.5703125" customWidth="1"/>
    <col min="43" max="43" width="10.85546875" customWidth="1"/>
    <col min="44" max="44" width="10.5703125" customWidth="1"/>
    <col min="47" max="56" width="0" hidden="1" customWidth="1"/>
  </cols>
  <sheetData>
    <row r="1" spans="1:56" ht="39" customHeight="1" x14ac:dyDescent="0.25">
      <c r="A1" s="8" t="s">
        <v>14929</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row>
    <row r="2" spans="1:56" ht="39" customHeight="1" x14ac:dyDescent="0.25">
      <c r="A2" s="7" t="s">
        <v>58</v>
      </c>
      <c r="B2" s="2" t="s">
        <v>55</v>
      </c>
      <c r="C2" s="2" t="s">
        <v>56</v>
      </c>
      <c r="D2" s="2" t="s">
        <v>57</v>
      </c>
      <c r="F2" s="3" t="s">
        <v>58</v>
      </c>
      <c r="G2" s="3" t="s">
        <v>59</v>
      </c>
      <c r="H2" s="3" t="s">
        <v>58</v>
      </c>
      <c r="I2" s="3" t="s">
        <v>58</v>
      </c>
      <c r="J2" s="3" t="s">
        <v>60</v>
      </c>
      <c r="K2" s="2" t="s">
        <v>61</v>
      </c>
      <c r="L2" s="2" t="s">
        <v>62</v>
      </c>
      <c r="M2" s="3" t="s">
        <v>63</v>
      </c>
      <c r="N2" s="2" t="s">
        <v>64</v>
      </c>
      <c r="O2" s="3" t="s">
        <v>65</v>
      </c>
      <c r="P2" s="3" t="s">
        <v>66</v>
      </c>
      <c r="Q2" s="2" t="s">
        <v>67</v>
      </c>
      <c r="R2" s="3" t="s">
        <v>68</v>
      </c>
      <c r="S2" s="4">
        <v>3</v>
      </c>
      <c r="T2" s="4">
        <v>3</v>
      </c>
      <c r="U2" s="5" t="s">
        <v>69</v>
      </c>
      <c r="V2" s="5" t="s">
        <v>69</v>
      </c>
      <c r="W2" s="5" t="s">
        <v>70</v>
      </c>
      <c r="X2" s="5" t="s">
        <v>70</v>
      </c>
      <c r="Y2" s="4">
        <v>50</v>
      </c>
      <c r="Z2" s="4">
        <v>30</v>
      </c>
      <c r="AA2" s="4">
        <v>958</v>
      </c>
      <c r="AB2" s="4">
        <v>1</v>
      </c>
      <c r="AC2" s="4">
        <v>8</v>
      </c>
      <c r="AD2" s="4">
        <v>1</v>
      </c>
      <c r="AE2" s="4">
        <v>40</v>
      </c>
      <c r="AF2" s="4">
        <v>0</v>
      </c>
      <c r="AG2" s="4">
        <v>16</v>
      </c>
      <c r="AH2" s="4">
        <v>0</v>
      </c>
      <c r="AI2" s="4">
        <v>7</v>
      </c>
      <c r="AJ2" s="4">
        <v>1</v>
      </c>
      <c r="AK2" s="4">
        <v>22</v>
      </c>
      <c r="AL2" s="4">
        <v>0</v>
      </c>
      <c r="AM2" s="4">
        <v>5</v>
      </c>
      <c r="AN2" s="4">
        <v>0</v>
      </c>
      <c r="AO2" s="4">
        <v>0</v>
      </c>
      <c r="AP2" s="3" t="s">
        <v>58</v>
      </c>
      <c r="AQ2" s="3" t="s">
        <v>58</v>
      </c>
      <c r="AS2" s="6" t="str">
        <f>HYPERLINK("https://creighton-primo.hosted.exlibrisgroup.com/primo-explore/search?tab=default_tab&amp;search_scope=EVERYTHING&amp;vid=01CRU&amp;lang=en_US&amp;offset=0&amp;query=any,contains,991004987259702656","Catalog Record")</f>
        <v>Catalog Record</v>
      </c>
      <c r="AT2" s="6" t="str">
        <f>HYPERLINK("http://www.worldcat.org/oclc/6463645","WorldCat Record")</f>
        <v>WorldCat Record</v>
      </c>
      <c r="AU2" s="3" t="s">
        <v>71</v>
      </c>
      <c r="AV2" s="3" t="s">
        <v>72</v>
      </c>
      <c r="AW2" s="3" t="s">
        <v>73</v>
      </c>
      <c r="AX2" s="3" t="s">
        <v>73</v>
      </c>
      <c r="AY2" s="3" t="s">
        <v>74</v>
      </c>
      <c r="AZ2" s="3" t="s">
        <v>75</v>
      </c>
      <c r="BC2" s="3" t="s">
        <v>76</v>
      </c>
      <c r="BD2" s="3" t="s">
        <v>77</v>
      </c>
    </row>
    <row r="3" spans="1:56" ht="39" customHeight="1" x14ac:dyDescent="0.25">
      <c r="A3" s="7" t="s">
        <v>58</v>
      </c>
      <c r="B3" s="2" t="s">
        <v>78</v>
      </c>
      <c r="C3" s="2" t="s">
        <v>79</v>
      </c>
      <c r="D3" s="2" t="s">
        <v>80</v>
      </c>
      <c r="F3" s="3" t="s">
        <v>58</v>
      </c>
      <c r="G3" s="3" t="s">
        <v>59</v>
      </c>
      <c r="H3" s="3" t="s">
        <v>58</v>
      </c>
      <c r="I3" s="3" t="s">
        <v>58</v>
      </c>
      <c r="J3" s="3" t="s">
        <v>60</v>
      </c>
      <c r="K3" s="2" t="s">
        <v>81</v>
      </c>
      <c r="L3" s="2" t="s">
        <v>82</v>
      </c>
      <c r="M3" s="3" t="s">
        <v>83</v>
      </c>
      <c r="O3" s="3" t="s">
        <v>65</v>
      </c>
      <c r="P3" s="3" t="s">
        <v>84</v>
      </c>
      <c r="R3" s="3" t="s">
        <v>68</v>
      </c>
      <c r="S3" s="4">
        <v>1</v>
      </c>
      <c r="T3" s="4">
        <v>1</v>
      </c>
      <c r="U3" s="5" t="s">
        <v>85</v>
      </c>
      <c r="V3" s="5" t="s">
        <v>85</v>
      </c>
      <c r="W3" s="5" t="s">
        <v>86</v>
      </c>
      <c r="X3" s="5" t="s">
        <v>86</v>
      </c>
      <c r="Y3" s="4">
        <v>230</v>
      </c>
      <c r="Z3" s="4">
        <v>206</v>
      </c>
      <c r="AA3" s="4">
        <v>207</v>
      </c>
      <c r="AB3" s="4">
        <v>3</v>
      </c>
      <c r="AC3" s="4">
        <v>3</v>
      </c>
      <c r="AD3" s="4">
        <v>9</v>
      </c>
      <c r="AE3" s="4">
        <v>9</v>
      </c>
      <c r="AF3" s="4">
        <v>3</v>
      </c>
      <c r="AG3" s="4">
        <v>3</v>
      </c>
      <c r="AH3" s="4">
        <v>3</v>
      </c>
      <c r="AI3" s="4">
        <v>3</v>
      </c>
      <c r="AJ3" s="4">
        <v>3</v>
      </c>
      <c r="AK3" s="4">
        <v>3</v>
      </c>
      <c r="AL3" s="4">
        <v>2</v>
      </c>
      <c r="AM3" s="4">
        <v>2</v>
      </c>
      <c r="AN3" s="4">
        <v>0</v>
      </c>
      <c r="AO3" s="4">
        <v>0</v>
      </c>
      <c r="AP3" s="3" t="s">
        <v>58</v>
      </c>
      <c r="AQ3" s="3" t="s">
        <v>58</v>
      </c>
      <c r="AS3" s="6" t="str">
        <f>HYPERLINK("https://creighton-primo.hosted.exlibrisgroup.com/primo-explore/search?tab=default_tab&amp;search_scope=EVERYTHING&amp;vid=01CRU&amp;lang=en_US&amp;offset=0&amp;query=any,contains,991003522009702656","Catalog Record")</f>
        <v>Catalog Record</v>
      </c>
      <c r="AT3" s="6" t="str">
        <f>HYPERLINK("http://www.worldcat.org/oclc/1084059","WorldCat Record")</f>
        <v>WorldCat Record</v>
      </c>
      <c r="AU3" s="3" t="s">
        <v>87</v>
      </c>
      <c r="AV3" s="3" t="s">
        <v>88</v>
      </c>
      <c r="AW3" s="3" t="s">
        <v>89</v>
      </c>
      <c r="AX3" s="3" t="s">
        <v>89</v>
      </c>
      <c r="AY3" s="3" t="s">
        <v>90</v>
      </c>
      <c r="AZ3" s="3" t="s">
        <v>75</v>
      </c>
      <c r="BC3" s="3" t="s">
        <v>91</v>
      </c>
      <c r="BD3" s="3" t="s">
        <v>92</v>
      </c>
    </row>
    <row r="4" spans="1:56" ht="39" customHeight="1" x14ac:dyDescent="0.25">
      <c r="A4" s="7" t="s">
        <v>58</v>
      </c>
      <c r="B4" s="2" t="s">
        <v>93</v>
      </c>
      <c r="C4" s="2" t="s">
        <v>94</v>
      </c>
      <c r="D4" s="2" t="s">
        <v>95</v>
      </c>
      <c r="F4" s="3" t="s">
        <v>58</v>
      </c>
      <c r="G4" s="3" t="s">
        <v>59</v>
      </c>
      <c r="H4" s="3" t="s">
        <v>58</v>
      </c>
      <c r="I4" s="3" t="s">
        <v>58</v>
      </c>
      <c r="J4" s="3" t="s">
        <v>60</v>
      </c>
      <c r="K4" s="2" t="s">
        <v>96</v>
      </c>
      <c r="L4" s="2" t="s">
        <v>97</v>
      </c>
      <c r="M4" s="3" t="s">
        <v>98</v>
      </c>
      <c r="O4" s="3" t="s">
        <v>65</v>
      </c>
      <c r="P4" s="3" t="s">
        <v>99</v>
      </c>
      <c r="R4" s="3" t="s">
        <v>68</v>
      </c>
      <c r="S4" s="4">
        <v>3</v>
      </c>
      <c r="T4" s="4">
        <v>3</v>
      </c>
      <c r="U4" s="5" t="s">
        <v>100</v>
      </c>
      <c r="V4" s="5" t="s">
        <v>100</v>
      </c>
      <c r="W4" s="5" t="s">
        <v>86</v>
      </c>
      <c r="X4" s="5" t="s">
        <v>86</v>
      </c>
      <c r="Y4" s="4">
        <v>327</v>
      </c>
      <c r="Z4" s="4">
        <v>287</v>
      </c>
      <c r="AA4" s="4">
        <v>292</v>
      </c>
      <c r="AB4" s="4">
        <v>2</v>
      </c>
      <c r="AC4" s="4">
        <v>2</v>
      </c>
      <c r="AD4" s="4">
        <v>30</v>
      </c>
      <c r="AE4" s="4">
        <v>30</v>
      </c>
      <c r="AF4" s="4">
        <v>11</v>
      </c>
      <c r="AG4" s="4">
        <v>11</v>
      </c>
      <c r="AH4" s="4">
        <v>7</v>
      </c>
      <c r="AI4" s="4">
        <v>7</v>
      </c>
      <c r="AJ4" s="4">
        <v>23</v>
      </c>
      <c r="AK4" s="4">
        <v>23</v>
      </c>
      <c r="AL4" s="4">
        <v>0</v>
      </c>
      <c r="AM4" s="4">
        <v>0</v>
      </c>
      <c r="AN4" s="4">
        <v>0</v>
      </c>
      <c r="AO4" s="4">
        <v>0</v>
      </c>
      <c r="AP4" s="3" t="s">
        <v>58</v>
      </c>
      <c r="AQ4" s="3" t="s">
        <v>58</v>
      </c>
      <c r="AS4" s="6" t="str">
        <f>HYPERLINK("https://creighton-primo.hosted.exlibrisgroup.com/primo-explore/search?tab=default_tab&amp;search_scope=EVERYTHING&amp;vid=01CRU&amp;lang=en_US&amp;offset=0&amp;query=any,contains,991003933129702656","Catalog Record")</f>
        <v>Catalog Record</v>
      </c>
      <c r="AT4" s="6" t="str">
        <f>HYPERLINK("http://www.worldcat.org/oclc/1904960","WorldCat Record")</f>
        <v>WorldCat Record</v>
      </c>
      <c r="AU4" s="3" t="s">
        <v>101</v>
      </c>
      <c r="AV4" s="3" t="s">
        <v>102</v>
      </c>
      <c r="AW4" s="3" t="s">
        <v>103</v>
      </c>
      <c r="AX4" s="3" t="s">
        <v>103</v>
      </c>
      <c r="AY4" s="3" t="s">
        <v>104</v>
      </c>
      <c r="AZ4" s="3" t="s">
        <v>75</v>
      </c>
      <c r="BC4" s="3" t="s">
        <v>105</v>
      </c>
      <c r="BD4" s="3" t="s">
        <v>106</v>
      </c>
    </row>
    <row r="5" spans="1:56" ht="39" customHeight="1" x14ac:dyDescent="0.25">
      <c r="A5" s="7" t="s">
        <v>58</v>
      </c>
      <c r="B5" s="2" t="s">
        <v>107</v>
      </c>
      <c r="C5" s="2" t="s">
        <v>108</v>
      </c>
      <c r="D5" s="2" t="s">
        <v>109</v>
      </c>
      <c r="F5" s="3" t="s">
        <v>58</v>
      </c>
      <c r="G5" s="3" t="s">
        <v>59</v>
      </c>
      <c r="H5" s="3" t="s">
        <v>58</v>
      </c>
      <c r="I5" s="3" t="s">
        <v>58</v>
      </c>
      <c r="J5" s="3" t="s">
        <v>60</v>
      </c>
      <c r="K5" s="2" t="s">
        <v>110</v>
      </c>
      <c r="L5" s="2" t="s">
        <v>111</v>
      </c>
      <c r="M5" s="3" t="s">
        <v>112</v>
      </c>
      <c r="O5" s="3" t="s">
        <v>65</v>
      </c>
      <c r="P5" s="3" t="s">
        <v>113</v>
      </c>
      <c r="R5" s="3" t="s">
        <v>68</v>
      </c>
      <c r="S5" s="4">
        <v>4</v>
      </c>
      <c r="T5" s="4">
        <v>4</v>
      </c>
      <c r="U5" s="5" t="s">
        <v>114</v>
      </c>
      <c r="V5" s="5" t="s">
        <v>114</v>
      </c>
      <c r="W5" s="5" t="s">
        <v>115</v>
      </c>
      <c r="X5" s="5" t="s">
        <v>115</v>
      </c>
      <c r="Y5" s="4">
        <v>106</v>
      </c>
      <c r="Z5" s="4">
        <v>80</v>
      </c>
      <c r="AA5" s="4">
        <v>81</v>
      </c>
      <c r="AB5" s="4">
        <v>1</v>
      </c>
      <c r="AC5" s="4">
        <v>1</v>
      </c>
      <c r="AD5" s="4">
        <v>7</v>
      </c>
      <c r="AE5" s="4">
        <v>7</v>
      </c>
      <c r="AF5" s="4">
        <v>2</v>
      </c>
      <c r="AG5" s="4">
        <v>2</v>
      </c>
      <c r="AH5" s="4">
        <v>3</v>
      </c>
      <c r="AI5" s="4">
        <v>3</v>
      </c>
      <c r="AJ5" s="4">
        <v>4</v>
      </c>
      <c r="AK5" s="4">
        <v>4</v>
      </c>
      <c r="AL5" s="4">
        <v>0</v>
      </c>
      <c r="AM5" s="4">
        <v>0</v>
      </c>
      <c r="AN5" s="4">
        <v>0</v>
      </c>
      <c r="AO5" s="4">
        <v>0</v>
      </c>
      <c r="AP5" s="3" t="s">
        <v>58</v>
      </c>
      <c r="AQ5" s="3" t="s">
        <v>58</v>
      </c>
      <c r="AS5" s="6" t="str">
        <f>HYPERLINK("https://creighton-primo.hosted.exlibrisgroup.com/primo-explore/search?tab=default_tab&amp;search_scope=EVERYTHING&amp;vid=01CRU&amp;lang=en_US&amp;offset=0&amp;query=any,contains,991002070299702656","Catalog Record")</f>
        <v>Catalog Record</v>
      </c>
      <c r="AT5" s="6" t="str">
        <f>HYPERLINK("http://www.worldcat.org/oclc/31969848","WorldCat Record")</f>
        <v>WorldCat Record</v>
      </c>
      <c r="AU5" s="3" t="s">
        <v>116</v>
      </c>
      <c r="AV5" s="3" t="s">
        <v>117</v>
      </c>
      <c r="AW5" s="3" t="s">
        <v>118</v>
      </c>
      <c r="AX5" s="3" t="s">
        <v>118</v>
      </c>
      <c r="AY5" s="3" t="s">
        <v>119</v>
      </c>
      <c r="AZ5" s="3" t="s">
        <v>75</v>
      </c>
      <c r="BB5" s="3" t="s">
        <v>120</v>
      </c>
      <c r="BC5" s="3" t="s">
        <v>121</v>
      </c>
      <c r="BD5" s="3" t="s">
        <v>122</v>
      </c>
    </row>
    <row r="6" spans="1:56" ht="39" customHeight="1" x14ac:dyDescent="0.25">
      <c r="A6" s="7" t="s">
        <v>58</v>
      </c>
      <c r="B6" s="2" t="s">
        <v>123</v>
      </c>
      <c r="C6" s="2" t="s">
        <v>124</v>
      </c>
      <c r="D6" s="2" t="s">
        <v>125</v>
      </c>
      <c r="F6" s="3" t="s">
        <v>58</v>
      </c>
      <c r="G6" s="3" t="s">
        <v>59</v>
      </c>
      <c r="H6" s="3" t="s">
        <v>58</v>
      </c>
      <c r="I6" s="3" t="s">
        <v>58</v>
      </c>
      <c r="J6" s="3" t="s">
        <v>60</v>
      </c>
      <c r="K6" s="2" t="s">
        <v>126</v>
      </c>
      <c r="L6" s="2" t="s">
        <v>127</v>
      </c>
      <c r="M6" s="3" t="s">
        <v>128</v>
      </c>
      <c r="O6" s="3" t="s">
        <v>65</v>
      </c>
      <c r="P6" s="3" t="s">
        <v>129</v>
      </c>
      <c r="R6" s="3" t="s">
        <v>68</v>
      </c>
      <c r="S6" s="4">
        <v>7</v>
      </c>
      <c r="T6" s="4">
        <v>7</v>
      </c>
      <c r="U6" s="5" t="s">
        <v>130</v>
      </c>
      <c r="V6" s="5" t="s">
        <v>130</v>
      </c>
      <c r="W6" s="5" t="s">
        <v>131</v>
      </c>
      <c r="X6" s="5" t="s">
        <v>131</v>
      </c>
      <c r="Y6" s="4">
        <v>497</v>
      </c>
      <c r="Z6" s="4">
        <v>387</v>
      </c>
      <c r="AA6" s="4">
        <v>394</v>
      </c>
      <c r="AB6" s="4">
        <v>3</v>
      </c>
      <c r="AC6" s="4">
        <v>3</v>
      </c>
      <c r="AD6" s="4">
        <v>24</v>
      </c>
      <c r="AE6" s="4">
        <v>24</v>
      </c>
      <c r="AF6" s="4">
        <v>9</v>
      </c>
      <c r="AG6" s="4">
        <v>9</v>
      </c>
      <c r="AH6" s="4">
        <v>6</v>
      </c>
      <c r="AI6" s="4">
        <v>6</v>
      </c>
      <c r="AJ6" s="4">
        <v>11</v>
      </c>
      <c r="AK6" s="4">
        <v>11</v>
      </c>
      <c r="AL6" s="4">
        <v>1</v>
      </c>
      <c r="AM6" s="4">
        <v>1</v>
      </c>
      <c r="AN6" s="4">
        <v>0</v>
      </c>
      <c r="AO6" s="4">
        <v>0</v>
      </c>
      <c r="AP6" s="3" t="s">
        <v>58</v>
      </c>
      <c r="AQ6" s="3" t="s">
        <v>132</v>
      </c>
      <c r="AR6" s="6" t="str">
        <f>HYPERLINK("http://catalog.hathitrust.org/Record/003492461","HathiTrust Record")</f>
        <v>HathiTrust Record</v>
      </c>
      <c r="AS6" s="6" t="str">
        <f>HYPERLINK("https://creighton-primo.hosted.exlibrisgroup.com/primo-explore/search?tab=default_tab&amp;search_scope=EVERYTHING&amp;vid=01CRU&amp;lang=en_US&amp;offset=0&amp;query=any,contains,991004401589702656","Catalog Record")</f>
        <v>Catalog Record</v>
      </c>
      <c r="AT6" s="6" t="str">
        <f>HYPERLINK("http://www.worldcat.org/oclc/3303118","WorldCat Record")</f>
        <v>WorldCat Record</v>
      </c>
      <c r="AU6" s="3" t="s">
        <v>133</v>
      </c>
      <c r="AV6" s="3" t="s">
        <v>134</v>
      </c>
      <c r="AW6" s="3" t="s">
        <v>135</v>
      </c>
      <c r="AX6" s="3" t="s">
        <v>135</v>
      </c>
      <c r="AY6" s="3" t="s">
        <v>136</v>
      </c>
      <c r="AZ6" s="3" t="s">
        <v>75</v>
      </c>
      <c r="BC6" s="3" t="s">
        <v>137</v>
      </c>
      <c r="BD6" s="3" t="s">
        <v>138</v>
      </c>
    </row>
    <row r="7" spans="1:56" ht="39" customHeight="1" x14ac:dyDescent="0.25">
      <c r="A7" s="7" t="s">
        <v>58</v>
      </c>
      <c r="B7" s="2" t="s">
        <v>139</v>
      </c>
      <c r="C7" s="2" t="s">
        <v>140</v>
      </c>
      <c r="D7" s="2" t="s">
        <v>141</v>
      </c>
      <c r="F7" s="3" t="s">
        <v>58</v>
      </c>
      <c r="G7" s="3" t="s">
        <v>59</v>
      </c>
      <c r="H7" s="3" t="s">
        <v>58</v>
      </c>
      <c r="I7" s="3" t="s">
        <v>58</v>
      </c>
      <c r="J7" s="3" t="s">
        <v>60</v>
      </c>
      <c r="K7" s="2" t="s">
        <v>142</v>
      </c>
      <c r="L7" s="2" t="s">
        <v>143</v>
      </c>
      <c r="M7" s="3" t="s">
        <v>144</v>
      </c>
      <c r="O7" s="3" t="s">
        <v>65</v>
      </c>
      <c r="P7" s="3" t="s">
        <v>66</v>
      </c>
      <c r="R7" s="3" t="s">
        <v>68</v>
      </c>
      <c r="S7" s="4">
        <v>5</v>
      </c>
      <c r="T7" s="4">
        <v>5</v>
      </c>
      <c r="U7" s="5" t="s">
        <v>145</v>
      </c>
      <c r="V7" s="5" t="s">
        <v>145</v>
      </c>
      <c r="W7" s="5" t="s">
        <v>131</v>
      </c>
      <c r="X7" s="5" t="s">
        <v>131</v>
      </c>
      <c r="Y7" s="4">
        <v>177</v>
      </c>
      <c r="Z7" s="4">
        <v>125</v>
      </c>
      <c r="AA7" s="4">
        <v>151</v>
      </c>
      <c r="AB7" s="4">
        <v>5</v>
      </c>
      <c r="AC7" s="4">
        <v>5</v>
      </c>
      <c r="AD7" s="4">
        <v>8</v>
      </c>
      <c r="AE7" s="4">
        <v>9</v>
      </c>
      <c r="AF7" s="4">
        <v>2</v>
      </c>
      <c r="AG7" s="4">
        <v>2</v>
      </c>
      <c r="AH7" s="4">
        <v>2</v>
      </c>
      <c r="AI7" s="4">
        <v>3</v>
      </c>
      <c r="AJ7" s="4">
        <v>2</v>
      </c>
      <c r="AK7" s="4">
        <v>2</v>
      </c>
      <c r="AL7" s="4">
        <v>3</v>
      </c>
      <c r="AM7" s="4">
        <v>3</v>
      </c>
      <c r="AN7" s="4">
        <v>0</v>
      </c>
      <c r="AO7" s="4">
        <v>0</v>
      </c>
      <c r="AP7" s="3" t="s">
        <v>58</v>
      </c>
      <c r="AQ7" s="3" t="s">
        <v>58</v>
      </c>
      <c r="AS7" s="6" t="str">
        <f>HYPERLINK("https://creighton-primo.hosted.exlibrisgroup.com/primo-explore/search?tab=default_tab&amp;search_scope=EVERYTHING&amp;vid=01CRU&amp;lang=en_US&amp;offset=0&amp;query=any,contains,991004625069702656","Catalog Record")</f>
        <v>Catalog Record</v>
      </c>
      <c r="AT7" s="6" t="str">
        <f>HYPERLINK("http://www.worldcat.org/oclc/4333251","WorldCat Record")</f>
        <v>WorldCat Record</v>
      </c>
      <c r="AU7" s="3" t="s">
        <v>146</v>
      </c>
      <c r="AV7" s="3" t="s">
        <v>147</v>
      </c>
      <c r="AW7" s="3" t="s">
        <v>148</v>
      </c>
      <c r="AX7" s="3" t="s">
        <v>148</v>
      </c>
      <c r="AY7" s="3" t="s">
        <v>149</v>
      </c>
      <c r="AZ7" s="3" t="s">
        <v>75</v>
      </c>
      <c r="BB7" s="3" t="s">
        <v>150</v>
      </c>
      <c r="BC7" s="3" t="s">
        <v>151</v>
      </c>
      <c r="BD7" s="3" t="s">
        <v>152</v>
      </c>
    </row>
    <row r="8" spans="1:56" ht="39" customHeight="1" x14ac:dyDescent="0.25">
      <c r="A8" s="7" t="s">
        <v>58</v>
      </c>
      <c r="B8" s="2" t="s">
        <v>153</v>
      </c>
      <c r="C8" s="2" t="s">
        <v>154</v>
      </c>
      <c r="D8" s="2" t="s">
        <v>155</v>
      </c>
      <c r="F8" s="3" t="s">
        <v>58</v>
      </c>
      <c r="G8" s="3" t="s">
        <v>59</v>
      </c>
      <c r="H8" s="3" t="s">
        <v>58</v>
      </c>
      <c r="I8" s="3" t="s">
        <v>58</v>
      </c>
      <c r="J8" s="3" t="s">
        <v>60</v>
      </c>
      <c r="L8" s="2" t="s">
        <v>156</v>
      </c>
      <c r="M8" s="3" t="s">
        <v>157</v>
      </c>
      <c r="O8" s="3" t="s">
        <v>65</v>
      </c>
      <c r="P8" s="3" t="s">
        <v>158</v>
      </c>
      <c r="R8" s="3" t="s">
        <v>68</v>
      </c>
      <c r="S8" s="4">
        <v>6</v>
      </c>
      <c r="T8" s="4">
        <v>6</v>
      </c>
      <c r="U8" s="5" t="s">
        <v>159</v>
      </c>
      <c r="V8" s="5" t="s">
        <v>159</v>
      </c>
      <c r="W8" s="5" t="s">
        <v>131</v>
      </c>
      <c r="X8" s="5" t="s">
        <v>131</v>
      </c>
      <c r="Y8" s="4">
        <v>380</v>
      </c>
      <c r="Z8" s="4">
        <v>294</v>
      </c>
      <c r="AA8" s="4">
        <v>344</v>
      </c>
      <c r="AB8" s="4">
        <v>3</v>
      </c>
      <c r="AC8" s="4">
        <v>3</v>
      </c>
      <c r="AD8" s="4">
        <v>15</v>
      </c>
      <c r="AE8" s="4">
        <v>16</v>
      </c>
      <c r="AF8" s="4">
        <v>6</v>
      </c>
      <c r="AG8" s="4">
        <v>6</v>
      </c>
      <c r="AH8" s="4">
        <v>3</v>
      </c>
      <c r="AI8" s="4">
        <v>4</v>
      </c>
      <c r="AJ8" s="4">
        <v>7</v>
      </c>
      <c r="AK8" s="4">
        <v>7</v>
      </c>
      <c r="AL8" s="4">
        <v>1</v>
      </c>
      <c r="AM8" s="4">
        <v>1</v>
      </c>
      <c r="AN8" s="4">
        <v>0</v>
      </c>
      <c r="AO8" s="4">
        <v>0</v>
      </c>
      <c r="AP8" s="3" t="s">
        <v>58</v>
      </c>
      <c r="AQ8" s="3" t="s">
        <v>58</v>
      </c>
      <c r="AS8" s="6" t="str">
        <f>HYPERLINK("https://creighton-primo.hosted.exlibrisgroup.com/primo-explore/search?tab=default_tab&amp;search_scope=EVERYTHING&amp;vid=01CRU&amp;lang=en_US&amp;offset=0&amp;query=any,contains,991005183019702656","Catalog Record")</f>
        <v>Catalog Record</v>
      </c>
      <c r="AT8" s="6" t="str">
        <f>HYPERLINK("http://www.worldcat.org/oclc/7947567","WorldCat Record")</f>
        <v>WorldCat Record</v>
      </c>
      <c r="AU8" s="3" t="s">
        <v>160</v>
      </c>
      <c r="AV8" s="3" t="s">
        <v>161</v>
      </c>
      <c r="AW8" s="3" t="s">
        <v>162</v>
      </c>
      <c r="AX8" s="3" t="s">
        <v>162</v>
      </c>
      <c r="AY8" s="3" t="s">
        <v>163</v>
      </c>
      <c r="AZ8" s="3" t="s">
        <v>75</v>
      </c>
      <c r="BB8" s="3" t="s">
        <v>164</v>
      </c>
      <c r="BC8" s="3" t="s">
        <v>165</v>
      </c>
      <c r="BD8" s="3" t="s">
        <v>166</v>
      </c>
    </row>
    <row r="9" spans="1:56" ht="39" customHeight="1" x14ac:dyDescent="0.25">
      <c r="A9" s="7" t="s">
        <v>58</v>
      </c>
      <c r="B9" s="2" t="s">
        <v>167</v>
      </c>
      <c r="C9" s="2" t="s">
        <v>168</v>
      </c>
      <c r="D9" s="2" t="s">
        <v>169</v>
      </c>
      <c r="F9" s="3" t="s">
        <v>58</v>
      </c>
      <c r="G9" s="3" t="s">
        <v>59</v>
      </c>
      <c r="H9" s="3" t="s">
        <v>58</v>
      </c>
      <c r="I9" s="3" t="s">
        <v>58</v>
      </c>
      <c r="J9" s="3" t="s">
        <v>60</v>
      </c>
      <c r="K9" s="2" t="s">
        <v>170</v>
      </c>
      <c r="L9" s="2" t="s">
        <v>171</v>
      </c>
      <c r="M9" s="3" t="s">
        <v>172</v>
      </c>
      <c r="O9" s="3" t="s">
        <v>65</v>
      </c>
      <c r="P9" s="3" t="s">
        <v>158</v>
      </c>
      <c r="R9" s="3" t="s">
        <v>68</v>
      </c>
      <c r="S9" s="4">
        <v>3</v>
      </c>
      <c r="T9" s="4">
        <v>3</v>
      </c>
      <c r="U9" s="5" t="s">
        <v>173</v>
      </c>
      <c r="V9" s="5" t="s">
        <v>173</v>
      </c>
      <c r="W9" s="5" t="s">
        <v>131</v>
      </c>
      <c r="X9" s="5" t="s">
        <v>131</v>
      </c>
      <c r="Y9" s="4">
        <v>276</v>
      </c>
      <c r="Z9" s="4">
        <v>244</v>
      </c>
      <c r="AA9" s="4">
        <v>249</v>
      </c>
      <c r="AB9" s="4">
        <v>3</v>
      </c>
      <c r="AC9" s="4">
        <v>3</v>
      </c>
      <c r="AD9" s="4">
        <v>9</v>
      </c>
      <c r="AE9" s="4">
        <v>9</v>
      </c>
      <c r="AF9" s="4">
        <v>5</v>
      </c>
      <c r="AG9" s="4">
        <v>5</v>
      </c>
      <c r="AH9" s="4">
        <v>1</v>
      </c>
      <c r="AI9" s="4">
        <v>1</v>
      </c>
      <c r="AJ9" s="4">
        <v>4</v>
      </c>
      <c r="AK9" s="4">
        <v>4</v>
      </c>
      <c r="AL9" s="4">
        <v>2</v>
      </c>
      <c r="AM9" s="4">
        <v>2</v>
      </c>
      <c r="AN9" s="4">
        <v>0</v>
      </c>
      <c r="AO9" s="4">
        <v>0</v>
      </c>
      <c r="AP9" s="3" t="s">
        <v>58</v>
      </c>
      <c r="AQ9" s="3" t="s">
        <v>58</v>
      </c>
      <c r="AS9" s="6" t="str">
        <f>HYPERLINK("https://creighton-primo.hosted.exlibrisgroup.com/primo-explore/search?tab=default_tab&amp;search_scope=EVERYTHING&amp;vid=01CRU&amp;lang=en_US&amp;offset=0&amp;query=any,contains,991001364109702656","Catalog Record")</f>
        <v>Catalog Record</v>
      </c>
      <c r="AT9" s="6" t="str">
        <f>HYPERLINK("http://www.worldcat.org/oclc/222183","WorldCat Record")</f>
        <v>WorldCat Record</v>
      </c>
      <c r="AU9" s="3" t="s">
        <v>174</v>
      </c>
      <c r="AV9" s="3" t="s">
        <v>175</v>
      </c>
      <c r="AW9" s="3" t="s">
        <v>176</v>
      </c>
      <c r="AX9" s="3" t="s">
        <v>176</v>
      </c>
      <c r="AY9" s="3" t="s">
        <v>177</v>
      </c>
      <c r="AZ9" s="3" t="s">
        <v>75</v>
      </c>
      <c r="BC9" s="3" t="s">
        <v>178</v>
      </c>
      <c r="BD9" s="3" t="s">
        <v>179</v>
      </c>
    </row>
    <row r="10" spans="1:56" ht="39" customHeight="1" x14ac:dyDescent="0.25">
      <c r="A10" s="7" t="s">
        <v>58</v>
      </c>
      <c r="B10" s="2" t="s">
        <v>180</v>
      </c>
      <c r="C10" s="2" t="s">
        <v>181</v>
      </c>
      <c r="D10" s="2" t="s">
        <v>182</v>
      </c>
      <c r="F10" s="3" t="s">
        <v>58</v>
      </c>
      <c r="G10" s="3" t="s">
        <v>59</v>
      </c>
      <c r="H10" s="3" t="s">
        <v>58</v>
      </c>
      <c r="I10" s="3" t="s">
        <v>58</v>
      </c>
      <c r="J10" s="3" t="s">
        <v>60</v>
      </c>
      <c r="K10" s="2" t="s">
        <v>183</v>
      </c>
      <c r="L10" s="2" t="s">
        <v>184</v>
      </c>
      <c r="M10" s="3" t="s">
        <v>185</v>
      </c>
      <c r="O10" s="3" t="s">
        <v>65</v>
      </c>
      <c r="P10" s="3" t="s">
        <v>186</v>
      </c>
      <c r="R10" s="3" t="s">
        <v>68</v>
      </c>
      <c r="S10" s="4">
        <v>1</v>
      </c>
      <c r="T10" s="4">
        <v>1</v>
      </c>
      <c r="U10" s="5" t="s">
        <v>187</v>
      </c>
      <c r="V10" s="5" t="s">
        <v>187</v>
      </c>
      <c r="W10" s="5" t="s">
        <v>188</v>
      </c>
      <c r="X10" s="5" t="s">
        <v>188</v>
      </c>
      <c r="Y10" s="4">
        <v>699</v>
      </c>
      <c r="Z10" s="4">
        <v>645</v>
      </c>
      <c r="AA10" s="4">
        <v>797</v>
      </c>
      <c r="AB10" s="4">
        <v>3</v>
      </c>
      <c r="AC10" s="4">
        <v>3</v>
      </c>
      <c r="AD10" s="4">
        <v>40</v>
      </c>
      <c r="AE10" s="4">
        <v>44</v>
      </c>
      <c r="AF10" s="4">
        <v>21</v>
      </c>
      <c r="AG10" s="4">
        <v>24</v>
      </c>
      <c r="AH10" s="4">
        <v>6</v>
      </c>
      <c r="AI10" s="4">
        <v>8</v>
      </c>
      <c r="AJ10" s="4">
        <v>16</v>
      </c>
      <c r="AK10" s="4">
        <v>18</v>
      </c>
      <c r="AL10" s="4">
        <v>2</v>
      </c>
      <c r="AM10" s="4">
        <v>2</v>
      </c>
      <c r="AN10" s="4">
        <v>3</v>
      </c>
      <c r="AO10" s="4">
        <v>3</v>
      </c>
      <c r="AP10" s="3" t="s">
        <v>58</v>
      </c>
      <c r="AQ10" s="3" t="s">
        <v>132</v>
      </c>
      <c r="AR10" s="6" t="str">
        <f>HYPERLINK("http://catalog.hathitrust.org/Record/004102517","HathiTrust Record")</f>
        <v>HathiTrust Record</v>
      </c>
      <c r="AS10" s="6" t="str">
        <f>HYPERLINK("https://creighton-primo.hosted.exlibrisgroup.com/primo-explore/search?tab=default_tab&amp;search_scope=EVERYTHING&amp;vid=01CRU&amp;lang=en_US&amp;offset=0&amp;query=any,contains,991003575799702656","Catalog Record")</f>
        <v>Catalog Record</v>
      </c>
      <c r="AT10" s="6" t="str">
        <f>HYPERLINK("http://www.worldcat.org/oclc/42690243","WorldCat Record")</f>
        <v>WorldCat Record</v>
      </c>
      <c r="AU10" s="3" t="s">
        <v>189</v>
      </c>
      <c r="AV10" s="3" t="s">
        <v>190</v>
      </c>
      <c r="AW10" s="3" t="s">
        <v>191</v>
      </c>
      <c r="AX10" s="3" t="s">
        <v>191</v>
      </c>
      <c r="AY10" s="3" t="s">
        <v>192</v>
      </c>
      <c r="AZ10" s="3" t="s">
        <v>75</v>
      </c>
      <c r="BB10" s="3" t="s">
        <v>193</v>
      </c>
      <c r="BC10" s="3" t="s">
        <v>194</v>
      </c>
      <c r="BD10" s="3" t="s">
        <v>195</v>
      </c>
    </row>
    <row r="11" spans="1:56" ht="39" customHeight="1" x14ac:dyDescent="0.25">
      <c r="A11" s="7" t="s">
        <v>58</v>
      </c>
      <c r="B11" s="2" t="s">
        <v>196</v>
      </c>
      <c r="C11" s="2" t="s">
        <v>197</v>
      </c>
      <c r="D11" s="2" t="s">
        <v>198</v>
      </c>
      <c r="F11" s="3" t="s">
        <v>58</v>
      </c>
      <c r="G11" s="3" t="s">
        <v>59</v>
      </c>
      <c r="H11" s="3" t="s">
        <v>58</v>
      </c>
      <c r="I11" s="3" t="s">
        <v>58</v>
      </c>
      <c r="J11" s="3" t="s">
        <v>60</v>
      </c>
      <c r="K11" s="2" t="s">
        <v>199</v>
      </c>
      <c r="L11" s="2" t="s">
        <v>200</v>
      </c>
      <c r="M11" s="3" t="s">
        <v>157</v>
      </c>
      <c r="O11" s="3" t="s">
        <v>65</v>
      </c>
      <c r="P11" s="3" t="s">
        <v>201</v>
      </c>
      <c r="R11" s="3" t="s">
        <v>68</v>
      </c>
      <c r="S11" s="4">
        <v>7</v>
      </c>
      <c r="T11" s="4">
        <v>7</v>
      </c>
      <c r="U11" s="5" t="s">
        <v>202</v>
      </c>
      <c r="V11" s="5" t="s">
        <v>202</v>
      </c>
      <c r="W11" s="5" t="s">
        <v>131</v>
      </c>
      <c r="X11" s="5" t="s">
        <v>131</v>
      </c>
      <c r="Y11" s="4">
        <v>159</v>
      </c>
      <c r="Z11" s="4">
        <v>127</v>
      </c>
      <c r="AA11" s="4">
        <v>132</v>
      </c>
      <c r="AB11" s="4">
        <v>1</v>
      </c>
      <c r="AC11" s="4">
        <v>1</v>
      </c>
      <c r="AD11" s="4">
        <v>17</v>
      </c>
      <c r="AE11" s="4">
        <v>17</v>
      </c>
      <c r="AF11" s="4">
        <v>3</v>
      </c>
      <c r="AG11" s="4">
        <v>3</v>
      </c>
      <c r="AH11" s="4">
        <v>7</v>
      </c>
      <c r="AI11" s="4">
        <v>7</v>
      </c>
      <c r="AJ11" s="4">
        <v>12</v>
      </c>
      <c r="AK11" s="4">
        <v>12</v>
      </c>
      <c r="AL11" s="4">
        <v>0</v>
      </c>
      <c r="AM11" s="4">
        <v>0</v>
      </c>
      <c r="AN11" s="4">
        <v>0</v>
      </c>
      <c r="AO11" s="4">
        <v>0</v>
      </c>
      <c r="AP11" s="3" t="s">
        <v>58</v>
      </c>
      <c r="AQ11" s="3" t="s">
        <v>58</v>
      </c>
      <c r="AS11" s="6" t="str">
        <f>HYPERLINK("https://creighton-primo.hosted.exlibrisgroup.com/primo-explore/search?tab=default_tab&amp;search_scope=EVERYTHING&amp;vid=01CRU&amp;lang=en_US&amp;offset=0&amp;query=any,contains,991005227679702656","Catalog Record")</f>
        <v>Catalog Record</v>
      </c>
      <c r="AT11" s="6" t="str">
        <f>HYPERLINK("http://www.worldcat.org/oclc/8284037","WorldCat Record")</f>
        <v>WorldCat Record</v>
      </c>
      <c r="AU11" s="3" t="s">
        <v>203</v>
      </c>
      <c r="AV11" s="3" t="s">
        <v>204</v>
      </c>
      <c r="AW11" s="3" t="s">
        <v>205</v>
      </c>
      <c r="AX11" s="3" t="s">
        <v>205</v>
      </c>
      <c r="AY11" s="3" t="s">
        <v>206</v>
      </c>
      <c r="AZ11" s="3" t="s">
        <v>75</v>
      </c>
      <c r="BB11" s="3" t="s">
        <v>207</v>
      </c>
      <c r="BC11" s="3" t="s">
        <v>208</v>
      </c>
      <c r="BD11" s="3" t="s">
        <v>209</v>
      </c>
    </row>
    <row r="12" spans="1:56" ht="39" customHeight="1" x14ac:dyDescent="0.25">
      <c r="A12" s="7" t="s">
        <v>58</v>
      </c>
      <c r="B12" s="2" t="s">
        <v>210</v>
      </c>
      <c r="C12" s="2" t="s">
        <v>211</v>
      </c>
      <c r="D12" s="2" t="s">
        <v>212</v>
      </c>
      <c r="F12" s="3" t="s">
        <v>58</v>
      </c>
      <c r="G12" s="3" t="s">
        <v>59</v>
      </c>
      <c r="H12" s="3" t="s">
        <v>58</v>
      </c>
      <c r="I12" s="3" t="s">
        <v>58</v>
      </c>
      <c r="J12" s="3" t="s">
        <v>60</v>
      </c>
      <c r="K12" s="2" t="s">
        <v>213</v>
      </c>
      <c r="L12" s="2" t="s">
        <v>214</v>
      </c>
      <c r="M12" s="3" t="s">
        <v>215</v>
      </c>
      <c r="O12" s="3" t="s">
        <v>65</v>
      </c>
      <c r="P12" s="3" t="s">
        <v>113</v>
      </c>
      <c r="R12" s="3" t="s">
        <v>68</v>
      </c>
      <c r="S12" s="4">
        <v>5</v>
      </c>
      <c r="T12" s="4">
        <v>5</v>
      </c>
      <c r="U12" s="5" t="s">
        <v>173</v>
      </c>
      <c r="V12" s="5" t="s">
        <v>173</v>
      </c>
      <c r="W12" s="5" t="s">
        <v>216</v>
      </c>
      <c r="X12" s="5" t="s">
        <v>216</v>
      </c>
      <c r="Y12" s="4">
        <v>72</v>
      </c>
      <c r="Z12" s="4">
        <v>54</v>
      </c>
      <c r="AA12" s="4">
        <v>172</v>
      </c>
      <c r="AB12" s="4">
        <v>1</v>
      </c>
      <c r="AC12" s="4">
        <v>1</v>
      </c>
      <c r="AD12" s="4">
        <v>9</v>
      </c>
      <c r="AE12" s="4">
        <v>18</v>
      </c>
      <c r="AF12" s="4">
        <v>3</v>
      </c>
      <c r="AG12" s="4">
        <v>6</v>
      </c>
      <c r="AH12" s="4">
        <v>3</v>
      </c>
      <c r="AI12" s="4">
        <v>4</v>
      </c>
      <c r="AJ12" s="4">
        <v>5</v>
      </c>
      <c r="AK12" s="4">
        <v>11</v>
      </c>
      <c r="AL12" s="4">
        <v>0</v>
      </c>
      <c r="AM12" s="4">
        <v>0</v>
      </c>
      <c r="AN12" s="4">
        <v>0</v>
      </c>
      <c r="AO12" s="4">
        <v>0</v>
      </c>
      <c r="AP12" s="3" t="s">
        <v>58</v>
      </c>
      <c r="AQ12" s="3" t="s">
        <v>58</v>
      </c>
      <c r="AS12" s="6" t="str">
        <f>HYPERLINK("https://creighton-primo.hosted.exlibrisgroup.com/primo-explore/search?tab=default_tab&amp;search_scope=EVERYTHING&amp;vid=01CRU&amp;lang=en_US&amp;offset=0&amp;query=any,contains,991001268049702656","Catalog Record")</f>
        <v>Catalog Record</v>
      </c>
      <c r="AT12" s="6" t="str">
        <f>HYPERLINK("http://www.worldcat.org/oclc/17830385","WorldCat Record")</f>
        <v>WorldCat Record</v>
      </c>
      <c r="AU12" s="3" t="s">
        <v>217</v>
      </c>
      <c r="AV12" s="3" t="s">
        <v>218</v>
      </c>
      <c r="AW12" s="3" t="s">
        <v>219</v>
      </c>
      <c r="AX12" s="3" t="s">
        <v>219</v>
      </c>
      <c r="AY12" s="3" t="s">
        <v>220</v>
      </c>
      <c r="AZ12" s="3" t="s">
        <v>75</v>
      </c>
      <c r="BB12" s="3" t="s">
        <v>221</v>
      </c>
      <c r="BC12" s="3" t="s">
        <v>222</v>
      </c>
      <c r="BD12" s="3" t="s">
        <v>223</v>
      </c>
    </row>
    <row r="13" spans="1:56" ht="39" customHeight="1" x14ac:dyDescent="0.25">
      <c r="A13" s="7" t="s">
        <v>58</v>
      </c>
      <c r="B13" s="2" t="s">
        <v>224</v>
      </c>
      <c r="C13" s="2" t="s">
        <v>225</v>
      </c>
      <c r="D13" s="2" t="s">
        <v>226</v>
      </c>
      <c r="F13" s="3" t="s">
        <v>58</v>
      </c>
      <c r="G13" s="3" t="s">
        <v>59</v>
      </c>
      <c r="H13" s="3" t="s">
        <v>58</v>
      </c>
      <c r="I13" s="3" t="s">
        <v>58</v>
      </c>
      <c r="J13" s="3" t="s">
        <v>60</v>
      </c>
      <c r="K13" s="2" t="s">
        <v>227</v>
      </c>
      <c r="L13" s="2" t="s">
        <v>228</v>
      </c>
      <c r="M13" s="3" t="s">
        <v>229</v>
      </c>
      <c r="O13" s="3" t="s">
        <v>65</v>
      </c>
      <c r="P13" s="3" t="s">
        <v>230</v>
      </c>
      <c r="R13" s="3" t="s">
        <v>68</v>
      </c>
      <c r="S13" s="4">
        <v>3</v>
      </c>
      <c r="T13" s="4">
        <v>3</v>
      </c>
      <c r="U13" s="5" t="s">
        <v>231</v>
      </c>
      <c r="V13" s="5" t="s">
        <v>231</v>
      </c>
      <c r="W13" s="5" t="s">
        <v>232</v>
      </c>
      <c r="X13" s="5" t="s">
        <v>232</v>
      </c>
      <c r="Y13" s="4">
        <v>257</v>
      </c>
      <c r="Z13" s="4">
        <v>220</v>
      </c>
      <c r="AA13" s="4">
        <v>222</v>
      </c>
      <c r="AB13" s="4">
        <v>2</v>
      </c>
      <c r="AC13" s="4">
        <v>2</v>
      </c>
      <c r="AD13" s="4">
        <v>16</v>
      </c>
      <c r="AE13" s="4">
        <v>16</v>
      </c>
      <c r="AF13" s="4">
        <v>6</v>
      </c>
      <c r="AG13" s="4">
        <v>6</v>
      </c>
      <c r="AH13" s="4">
        <v>5</v>
      </c>
      <c r="AI13" s="4">
        <v>5</v>
      </c>
      <c r="AJ13" s="4">
        <v>9</v>
      </c>
      <c r="AK13" s="4">
        <v>9</v>
      </c>
      <c r="AL13" s="4">
        <v>1</v>
      </c>
      <c r="AM13" s="4">
        <v>1</v>
      </c>
      <c r="AN13" s="4">
        <v>0</v>
      </c>
      <c r="AO13" s="4">
        <v>0</v>
      </c>
      <c r="AP13" s="3" t="s">
        <v>58</v>
      </c>
      <c r="AQ13" s="3" t="s">
        <v>132</v>
      </c>
      <c r="AR13" s="6" t="str">
        <f>HYPERLINK("http://catalog.hathitrust.org/Record/001838038","HathiTrust Record")</f>
        <v>HathiTrust Record</v>
      </c>
      <c r="AS13" s="6" t="str">
        <f>HYPERLINK("https://creighton-primo.hosted.exlibrisgroup.com/primo-explore/search?tab=default_tab&amp;search_scope=EVERYTHING&amp;vid=01CRU&amp;lang=en_US&amp;offset=0&amp;query=any,contains,991001513519702656","Catalog Record")</f>
        <v>Catalog Record</v>
      </c>
      <c r="AT13" s="6" t="str">
        <f>HYPERLINK("http://www.worldcat.org/oclc/19920625","WorldCat Record")</f>
        <v>WorldCat Record</v>
      </c>
      <c r="AU13" s="3" t="s">
        <v>233</v>
      </c>
      <c r="AV13" s="3" t="s">
        <v>234</v>
      </c>
      <c r="AW13" s="3" t="s">
        <v>235</v>
      </c>
      <c r="AX13" s="3" t="s">
        <v>235</v>
      </c>
      <c r="AY13" s="3" t="s">
        <v>236</v>
      </c>
      <c r="AZ13" s="3" t="s">
        <v>75</v>
      </c>
      <c r="BB13" s="3" t="s">
        <v>237</v>
      </c>
      <c r="BC13" s="3" t="s">
        <v>238</v>
      </c>
      <c r="BD13" s="3" t="s">
        <v>239</v>
      </c>
    </row>
    <row r="14" spans="1:56" ht="39" customHeight="1" x14ac:dyDescent="0.25">
      <c r="A14" s="7" t="s">
        <v>58</v>
      </c>
      <c r="B14" s="2" t="s">
        <v>240</v>
      </c>
      <c r="C14" s="2" t="s">
        <v>241</v>
      </c>
      <c r="D14" s="2" t="s">
        <v>242</v>
      </c>
      <c r="F14" s="3" t="s">
        <v>58</v>
      </c>
      <c r="G14" s="3" t="s">
        <v>59</v>
      </c>
      <c r="H14" s="3" t="s">
        <v>58</v>
      </c>
      <c r="I14" s="3" t="s">
        <v>58</v>
      </c>
      <c r="J14" s="3" t="s">
        <v>60</v>
      </c>
      <c r="K14" s="2" t="s">
        <v>243</v>
      </c>
      <c r="L14" s="2" t="s">
        <v>244</v>
      </c>
      <c r="M14" s="3" t="s">
        <v>128</v>
      </c>
      <c r="O14" s="3" t="s">
        <v>65</v>
      </c>
      <c r="P14" s="3" t="s">
        <v>245</v>
      </c>
      <c r="Q14" s="2" t="s">
        <v>246</v>
      </c>
      <c r="R14" s="3" t="s">
        <v>68</v>
      </c>
      <c r="S14" s="4">
        <v>3</v>
      </c>
      <c r="T14" s="4">
        <v>3</v>
      </c>
      <c r="U14" s="5" t="s">
        <v>247</v>
      </c>
      <c r="V14" s="5" t="s">
        <v>247</v>
      </c>
      <c r="W14" s="5" t="s">
        <v>131</v>
      </c>
      <c r="X14" s="5" t="s">
        <v>131</v>
      </c>
      <c r="Y14" s="4">
        <v>762</v>
      </c>
      <c r="Z14" s="4">
        <v>676</v>
      </c>
      <c r="AA14" s="4">
        <v>685</v>
      </c>
      <c r="AB14" s="4">
        <v>6</v>
      </c>
      <c r="AC14" s="4">
        <v>6</v>
      </c>
      <c r="AD14" s="4">
        <v>35</v>
      </c>
      <c r="AE14" s="4">
        <v>35</v>
      </c>
      <c r="AF14" s="4">
        <v>9</v>
      </c>
      <c r="AG14" s="4">
        <v>9</v>
      </c>
      <c r="AH14" s="4">
        <v>8</v>
      </c>
      <c r="AI14" s="4">
        <v>8</v>
      </c>
      <c r="AJ14" s="4">
        <v>20</v>
      </c>
      <c r="AK14" s="4">
        <v>20</v>
      </c>
      <c r="AL14" s="4">
        <v>5</v>
      </c>
      <c r="AM14" s="4">
        <v>5</v>
      </c>
      <c r="AN14" s="4">
        <v>0</v>
      </c>
      <c r="AO14" s="4">
        <v>0</v>
      </c>
      <c r="AP14" s="3" t="s">
        <v>58</v>
      </c>
      <c r="AQ14" s="3" t="s">
        <v>132</v>
      </c>
      <c r="AR14" s="6" t="str">
        <f>HYPERLINK("http://catalog.hathitrust.org/Record/000724019","HathiTrust Record")</f>
        <v>HathiTrust Record</v>
      </c>
      <c r="AS14" s="6" t="str">
        <f>HYPERLINK("https://creighton-primo.hosted.exlibrisgroup.com/primo-explore/search?tab=default_tab&amp;search_scope=EVERYTHING&amp;vid=01CRU&amp;lang=en_US&amp;offset=0&amp;query=any,contains,991004101749702656","Catalog Record")</f>
        <v>Catalog Record</v>
      </c>
      <c r="AT14" s="6" t="str">
        <f>HYPERLINK("http://www.worldcat.org/oclc/2372825","WorldCat Record")</f>
        <v>WorldCat Record</v>
      </c>
      <c r="AU14" s="3" t="s">
        <v>248</v>
      </c>
      <c r="AV14" s="3" t="s">
        <v>249</v>
      </c>
      <c r="AW14" s="3" t="s">
        <v>250</v>
      </c>
      <c r="AX14" s="3" t="s">
        <v>250</v>
      </c>
      <c r="AY14" s="3" t="s">
        <v>251</v>
      </c>
      <c r="AZ14" s="3" t="s">
        <v>75</v>
      </c>
      <c r="BB14" s="3" t="s">
        <v>252</v>
      </c>
      <c r="BC14" s="3" t="s">
        <v>253</v>
      </c>
      <c r="BD14" s="3" t="s">
        <v>254</v>
      </c>
    </row>
    <row r="15" spans="1:56" ht="39" customHeight="1" x14ac:dyDescent="0.25">
      <c r="A15" s="7" t="s">
        <v>58</v>
      </c>
      <c r="B15" s="2" t="s">
        <v>255</v>
      </c>
      <c r="C15" s="2" t="s">
        <v>256</v>
      </c>
      <c r="D15" s="2" t="s">
        <v>257</v>
      </c>
      <c r="F15" s="3" t="s">
        <v>58</v>
      </c>
      <c r="G15" s="3" t="s">
        <v>59</v>
      </c>
      <c r="H15" s="3" t="s">
        <v>58</v>
      </c>
      <c r="I15" s="3" t="s">
        <v>58</v>
      </c>
      <c r="J15" s="3" t="s">
        <v>60</v>
      </c>
      <c r="L15" s="2" t="s">
        <v>258</v>
      </c>
      <c r="M15" s="3" t="s">
        <v>144</v>
      </c>
      <c r="O15" s="3" t="s">
        <v>65</v>
      </c>
      <c r="P15" s="3" t="s">
        <v>186</v>
      </c>
      <c r="R15" s="3" t="s">
        <v>68</v>
      </c>
      <c r="S15" s="4">
        <v>2</v>
      </c>
      <c r="T15" s="4">
        <v>2</v>
      </c>
      <c r="U15" s="5" t="s">
        <v>259</v>
      </c>
      <c r="V15" s="5" t="s">
        <v>259</v>
      </c>
      <c r="W15" s="5" t="s">
        <v>260</v>
      </c>
      <c r="X15" s="5" t="s">
        <v>260</v>
      </c>
      <c r="Y15" s="4">
        <v>203</v>
      </c>
      <c r="Z15" s="4">
        <v>167</v>
      </c>
      <c r="AA15" s="4">
        <v>173</v>
      </c>
      <c r="AB15" s="4">
        <v>1</v>
      </c>
      <c r="AC15" s="4">
        <v>1</v>
      </c>
      <c r="AD15" s="4">
        <v>16</v>
      </c>
      <c r="AE15" s="4">
        <v>16</v>
      </c>
      <c r="AF15" s="4">
        <v>4</v>
      </c>
      <c r="AG15" s="4">
        <v>4</v>
      </c>
      <c r="AH15" s="4">
        <v>4</v>
      </c>
      <c r="AI15" s="4">
        <v>4</v>
      </c>
      <c r="AJ15" s="4">
        <v>12</v>
      </c>
      <c r="AK15" s="4">
        <v>12</v>
      </c>
      <c r="AL15" s="4">
        <v>0</v>
      </c>
      <c r="AM15" s="4">
        <v>0</v>
      </c>
      <c r="AN15" s="4">
        <v>0</v>
      </c>
      <c r="AO15" s="4">
        <v>0</v>
      </c>
      <c r="AP15" s="3" t="s">
        <v>58</v>
      </c>
      <c r="AQ15" s="3" t="s">
        <v>58</v>
      </c>
      <c r="AS15" s="6" t="str">
        <f>HYPERLINK("https://creighton-primo.hosted.exlibrisgroup.com/primo-explore/search?tab=default_tab&amp;search_scope=EVERYTHING&amp;vid=01CRU&amp;lang=en_US&amp;offset=0&amp;query=any,contains,991004564059702656","Catalog Record")</f>
        <v>Catalog Record</v>
      </c>
      <c r="AT15" s="6" t="str">
        <f>HYPERLINK("http://www.worldcat.org/oclc/4004110","WorldCat Record")</f>
        <v>WorldCat Record</v>
      </c>
      <c r="AU15" s="3" t="s">
        <v>261</v>
      </c>
      <c r="AV15" s="3" t="s">
        <v>262</v>
      </c>
      <c r="AW15" s="3" t="s">
        <v>263</v>
      </c>
      <c r="AX15" s="3" t="s">
        <v>263</v>
      </c>
      <c r="AY15" s="3" t="s">
        <v>264</v>
      </c>
      <c r="AZ15" s="3" t="s">
        <v>75</v>
      </c>
      <c r="BB15" s="3" t="s">
        <v>265</v>
      </c>
      <c r="BC15" s="3" t="s">
        <v>266</v>
      </c>
      <c r="BD15" s="3" t="s">
        <v>267</v>
      </c>
    </row>
    <row r="16" spans="1:56" ht="39" customHeight="1" x14ac:dyDescent="0.25">
      <c r="A16" s="7" t="s">
        <v>58</v>
      </c>
      <c r="B16" s="2" t="s">
        <v>268</v>
      </c>
      <c r="C16" s="2" t="s">
        <v>269</v>
      </c>
      <c r="D16" s="2" t="s">
        <v>270</v>
      </c>
      <c r="F16" s="3" t="s">
        <v>58</v>
      </c>
      <c r="G16" s="3" t="s">
        <v>59</v>
      </c>
      <c r="H16" s="3" t="s">
        <v>58</v>
      </c>
      <c r="I16" s="3" t="s">
        <v>58</v>
      </c>
      <c r="J16" s="3" t="s">
        <v>60</v>
      </c>
      <c r="K16" s="2" t="s">
        <v>271</v>
      </c>
      <c r="L16" s="2" t="s">
        <v>272</v>
      </c>
      <c r="M16" s="3" t="s">
        <v>273</v>
      </c>
      <c r="O16" s="3" t="s">
        <v>65</v>
      </c>
      <c r="P16" s="3" t="s">
        <v>274</v>
      </c>
      <c r="R16" s="3" t="s">
        <v>68</v>
      </c>
      <c r="S16" s="4">
        <v>2</v>
      </c>
      <c r="T16" s="4">
        <v>2</v>
      </c>
      <c r="U16" s="5" t="s">
        <v>275</v>
      </c>
      <c r="V16" s="5" t="s">
        <v>275</v>
      </c>
      <c r="W16" s="5" t="s">
        <v>276</v>
      </c>
      <c r="X16" s="5" t="s">
        <v>276</v>
      </c>
      <c r="Y16" s="4">
        <v>328</v>
      </c>
      <c r="Z16" s="4">
        <v>234</v>
      </c>
      <c r="AA16" s="4">
        <v>234</v>
      </c>
      <c r="AB16" s="4">
        <v>3</v>
      </c>
      <c r="AC16" s="4">
        <v>3</v>
      </c>
      <c r="AD16" s="4">
        <v>24</v>
      </c>
      <c r="AE16" s="4">
        <v>24</v>
      </c>
      <c r="AF16" s="4">
        <v>10</v>
      </c>
      <c r="AG16" s="4">
        <v>10</v>
      </c>
      <c r="AH16" s="4">
        <v>4</v>
      </c>
      <c r="AI16" s="4">
        <v>4</v>
      </c>
      <c r="AJ16" s="4">
        <v>14</v>
      </c>
      <c r="AK16" s="4">
        <v>14</v>
      </c>
      <c r="AL16" s="4">
        <v>2</v>
      </c>
      <c r="AM16" s="4">
        <v>2</v>
      </c>
      <c r="AN16" s="4">
        <v>0</v>
      </c>
      <c r="AO16" s="4">
        <v>0</v>
      </c>
      <c r="AP16" s="3" t="s">
        <v>58</v>
      </c>
      <c r="AQ16" s="3" t="s">
        <v>58</v>
      </c>
      <c r="AS16" s="6" t="str">
        <f>HYPERLINK("https://creighton-primo.hosted.exlibrisgroup.com/primo-explore/search?tab=default_tab&amp;search_scope=EVERYTHING&amp;vid=01CRU&amp;lang=en_US&amp;offset=0&amp;query=any,contains,991002267959702656","Catalog Record")</f>
        <v>Catalog Record</v>
      </c>
      <c r="AT16" s="6" t="str">
        <f>HYPERLINK("http://www.worldcat.org/oclc/29428552","WorldCat Record")</f>
        <v>WorldCat Record</v>
      </c>
      <c r="AU16" s="3" t="s">
        <v>277</v>
      </c>
      <c r="AV16" s="3" t="s">
        <v>278</v>
      </c>
      <c r="AW16" s="3" t="s">
        <v>279</v>
      </c>
      <c r="AX16" s="3" t="s">
        <v>279</v>
      </c>
      <c r="AY16" s="3" t="s">
        <v>280</v>
      </c>
      <c r="AZ16" s="3" t="s">
        <v>75</v>
      </c>
      <c r="BB16" s="3" t="s">
        <v>281</v>
      </c>
      <c r="BC16" s="3" t="s">
        <v>282</v>
      </c>
      <c r="BD16" s="3" t="s">
        <v>283</v>
      </c>
    </row>
    <row r="17" spans="1:56" ht="39" customHeight="1" x14ac:dyDescent="0.25">
      <c r="A17" s="7" t="s">
        <v>58</v>
      </c>
      <c r="B17" s="2" t="s">
        <v>284</v>
      </c>
      <c r="C17" s="2" t="s">
        <v>285</v>
      </c>
      <c r="D17" s="2" t="s">
        <v>286</v>
      </c>
      <c r="F17" s="3" t="s">
        <v>58</v>
      </c>
      <c r="G17" s="3" t="s">
        <v>59</v>
      </c>
      <c r="H17" s="3" t="s">
        <v>58</v>
      </c>
      <c r="I17" s="3" t="s">
        <v>58</v>
      </c>
      <c r="J17" s="3" t="s">
        <v>60</v>
      </c>
      <c r="K17" s="2" t="s">
        <v>287</v>
      </c>
      <c r="L17" s="2" t="s">
        <v>288</v>
      </c>
      <c r="M17" s="3" t="s">
        <v>289</v>
      </c>
      <c r="O17" s="3" t="s">
        <v>65</v>
      </c>
      <c r="P17" s="3" t="s">
        <v>274</v>
      </c>
      <c r="R17" s="3" t="s">
        <v>68</v>
      </c>
      <c r="S17" s="4">
        <v>2</v>
      </c>
      <c r="T17" s="4">
        <v>2</v>
      </c>
      <c r="U17" s="5" t="s">
        <v>290</v>
      </c>
      <c r="V17" s="5" t="s">
        <v>290</v>
      </c>
      <c r="W17" s="5" t="s">
        <v>260</v>
      </c>
      <c r="X17" s="5" t="s">
        <v>260</v>
      </c>
      <c r="Y17" s="4">
        <v>255</v>
      </c>
      <c r="Z17" s="4">
        <v>205</v>
      </c>
      <c r="AA17" s="4">
        <v>206</v>
      </c>
      <c r="AB17" s="4">
        <v>3</v>
      </c>
      <c r="AC17" s="4">
        <v>3</v>
      </c>
      <c r="AD17" s="4">
        <v>19</v>
      </c>
      <c r="AE17" s="4">
        <v>19</v>
      </c>
      <c r="AF17" s="4">
        <v>8</v>
      </c>
      <c r="AG17" s="4">
        <v>8</v>
      </c>
      <c r="AH17" s="4">
        <v>3</v>
      </c>
      <c r="AI17" s="4">
        <v>3</v>
      </c>
      <c r="AJ17" s="4">
        <v>10</v>
      </c>
      <c r="AK17" s="4">
        <v>10</v>
      </c>
      <c r="AL17" s="4">
        <v>2</v>
      </c>
      <c r="AM17" s="4">
        <v>2</v>
      </c>
      <c r="AN17" s="4">
        <v>0</v>
      </c>
      <c r="AO17" s="4">
        <v>0</v>
      </c>
      <c r="AP17" s="3" t="s">
        <v>58</v>
      </c>
      <c r="AQ17" s="3" t="s">
        <v>58</v>
      </c>
      <c r="AS17" s="6" t="str">
        <f>HYPERLINK("https://creighton-primo.hosted.exlibrisgroup.com/primo-explore/search?tab=default_tab&amp;search_scope=EVERYTHING&amp;vid=01CRU&amp;lang=en_US&amp;offset=0&amp;query=any,contains,991005159729702656","Catalog Record")</f>
        <v>Catalog Record</v>
      </c>
      <c r="AT17" s="6" t="str">
        <f>HYPERLINK("http://www.worldcat.org/oclc/7773834","WorldCat Record")</f>
        <v>WorldCat Record</v>
      </c>
      <c r="AU17" s="3" t="s">
        <v>291</v>
      </c>
      <c r="AV17" s="3" t="s">
        <v>292</v>
      </c>
      <c r="AW17" s="3" t="s">
        <v>293</v>
      </c>
      <c r="AX17" s="3" t="s">
        <v>293</v>
      </c>
      <c r="AY17" s="3" t="s">
        <v>294</v>
      </c>
      <c r="AZ17" s="3" t="s">
        <v>75</v>
      </c>
      <c r="BB17" s="3" t="s">
        <v>295</v>
      </c>
      <c r="BC17" s="3" t="s">
        <v>296</v>
      </c>
      <c r="BD17" s="3" t="s">
        <v>297</v>
      </c>
    </row>
    <row r="18" spans="1:56" ht="39" customHeight="1" x14ac:dyDescent="0.25">
      <c r="A18" s="7" t="s">
        <v>58</v>
      </c>
      <c r="B18" s="2" t="s">
        <v>298</v>
      </c>
      <c r="C18" s="2" t="s">
        <v>299</v>
      </c>
      <c r="D18" s="2" t="s">
        <v>300</v>
      </c>
      <c r="F18" s="3" t="s">
        <v>58</v>
      </c>
      <c r="G18" s="3" t="s">
        <v>59</v>
      </c>
      <c r="H18" s="3" t="s">
        <v>58</v>
      </c>
      <c r="I18" s="3" t="s">
        <v>58</v>
      </c>
      <c r="J18" s="3" t="s">
        <v>60</v>
      </c>
      <c r="K18" s="2" t="s">
        <v>301</v>
      </c>
      <c r="L18" s="2" t="s">
        <v>302</v>
      </c>
      <c r="M18" s="3" t="s">
        <v>303</v>
      </c>
      <c r="O18" s="3" t="s">
        <v>65</v>
      </c>
      <c r="P18" s="3" t="s">
        <v>304</v>
      </c>
      <c r="R18" s="3" t="s">
        <v>68</v>
      </c>
      <c r="S18" s="4">
        <v>3</v>
      </c>
      <c r="T18" s="4">
        <v>3</v>
      </c>
      <c r="U18" s="5" t="s">
        <v>305</v>
      </c>
      <c r="V18" s="5" t="s">
        <v>305</v>
      </c>
      <c r="W18" s="5" t="s">
        <v>260</v>
      </c>
      <c r="X18" s="5" t="s">
        <v>260</v>
      </c>
      <c r="Y18" s="4">
        <v>299</v>
      </c>
      <c r="Z18" s="4">
        <v>252</v>
      </c>
      <c r="AA18" s="4">
        <v>261</v>
      </c>
      <c r="AB18" s="4">
        <v>3</v>
      </c>
      <c r="AC18" s="4">
        <v>3</v>
      </c>
      <c r="AD18" s="4">
        <v>20</v>
      </c>
      <c r="AE18" s="4">
        <v>20</v>
      </c>
      <c r="AF18" s="4">
        <v>10</v>
      </c>
      <c r="AG18" s="4">
        <v>10</v>
      </c>
      <c r="AH18" s="4">
        <v>4</v>
      </c>
      <c r="AI18" s="4">
        <v>4</v>
      </c>
      <c r="AJ18" s="4">
        <v>12</v>
      </c>
      <c r="AK18" s="4">
        <v>12</v>
      </c>
      <c r="AL18" s="4">
        <v>1</v>
      </c>
      <c r="AM18" s="4">
        <v>1</v>
      </c>
      <c r="AN18" s="4">
        <v>0</v>
      </c>
      <c r="AO18" s="4">
        <v>0</v>
      </c>
      <c r="AP18" s="3" t="s">
        <v>58</v>
      </c>
      <c r="AQ18" s="3" t="s">
        <v>58</v>
      </c>
      <c r="AS18" s="6" t="str">
        <f>HYPERLINK("https://creighton-primo.hosted.exlibrisgroup.com/primo-explore/search?tab=default_tab&amp;search_scope=EVERYTHING&amp;vid=01CRU&amp;lang=en_US&amp;offset=0&amp;query=any,contains,991004444069702656","Catalog Record")</f>
        <v>Catalog Record</v>
      </c>
      <c r="AT18" s="6" t="str">
        <f>HYPERLINK("http://www.worldcat.org/oclc/3479043","WorldCat Record")</f>
        <v>WorldCat Record</v>
      </c>
      <c r="AU18" s="3" t="s">
        <v>306</v>
      </c>
      <c r="AV18" s="3" t="s">
        <v>307</v>
      </c>
      <c r="AW18" s="3" t="s">
        <v>308</v>
      </c>
      <c r="AX18" s="3" t="s">
        <v>308</v>
      </c>
      <c r="AY18" s="3" t="s">
        <v>309</v>
      </c>
      <c r="AZ18" s="3" t="s">
        <v>75</v>
      </c>
      <c r="BB18" s="3" t="s">
        <v>310</v>
      </c>
      <c r="BC18" s="3" t="s">
        <v>311</v>
      </c>
      <c r="BD18" s="3" t="s">
        <v>312</v>
      </c>
    </row>
    <row r="19" spans="1:56" ht="39" customHeight="1" x14ac:dyDescent="0.25">
      <c r="A19" s="7" t="s">
        <v>58</v>
      </c>
      <c r="B19" s="2" t="s">
        <v>313</v>
      </c>
      <c r="C19" s="2" t="s">
        <v>314</v>
      </c>
      <c r="D19" s="2" t="s">
        <v>315</v>
      </c>
      <c r="F19" s="3" t="s">
        <v>58</v>
      </c>
      <c r="G19" s="3" t="s">
        <v>59</v>
      </c>
      <c r="H19" s="3" t="s">
        <v>58</v>
      </c>
      <c r="I19" s="3" t="s">
        <v>58</v>
      </c>
      <c r="J19" s="3" t="s">
        <v>60</v>
      </c>
      <c r="K19" s="2" t="s">
        <v>316</v>
      </c>
      <c r="L19" s="2" t="s">
        <v>317</v>
      </c>
      <c r="M19" s="3" t="s">
        <v>318</v>
      </c>
      <c r="O19" s="3" t="s">
        <v>65</v>
      </c>
      <c r="P19" s="3" t="s">
        <v>186</v>
      </c>
      <c r="R19" s="3" t="s">
        <v>68</v>
      </c>
      <c r="S19" s="4">
        <v>9</v>
      </c>
      <c r="T19" s="4">
        <v>9</v>
      </c>
      <c r="U19" s="5" t="s">
        <v>319</v>
      </c>
      <c r="V19" s="5" t="s">
        <v>319</v>
      </c>
      <c r="W19" s="5" t="s">
        <v>320</v>
      </c>
      <c r="X19" s="5" t="s">
        <v>320</v>
      </c>
      <c r="Y19" s="4">
        <v>248</v>
      </c>
      <c r="Z19" s="4">
        <v>200</v>
      </c>
      <c r="AA19" s="4">
        <v>204</v>
      </c>
      <c r="AB19" s="4">
        <v>2</v>
      </c>
      <c r="AC19" s="4">
        <v>2</v>
      </c>
      <c r="AD19" s="4">
        <v>24</v>
      </c>
      <c r="AE19" s="4">
        <v>24</v>
      </c>
      <c r="AF19" s="4">
        <v>8</v>
      </c>
      <c r="AG19" s="4">
        <v>8</v>
      </c>
      <c r="AH19" s="4">
        <v>7</v>
      </c>
      <c r="AI19" s="4">
        <v>7</v>
      </c>
      <c r="AJ19" s="4">
        <v>17</v>
      </c>
      <c r="AK19" s="4">
        <v>17</v>
      </c>
      <c r="AL19" s="4">
        <v>1</v>
      </c>
      <c r="AM19" s="4">
        <v>1</v>
      </c>
      <c r="AN19" s="4">
        <v>0</v>
      </c>
      <c r="AO19" s="4">
        <v>0</v>
      </c>
      <c r="AP19" s="3" t="s">
        <v>58</v>
      </c>
      <c r="AQ19" s="3" t="s">
        <v>58</v>
      </c>
      <c r="AS19" s="6" t="str">
        <f>HYPERLINK("https://creighton-primo.hosted.exlibrisgroup.com/primo-explore/search?tab=default_tab&amp;search_scope=EVERYTHING&amp;vid=01CRU&amp;lang=en_US&amp;offset=0&amp;query=any,contains,991002854299702656","Catalog Record")</f>
        <v>Catalog Record</v>
      </c>
      <c r="AT19" s="6" t="str">
        <f>HYPERLINK("http://www.worldcat.org/oclc/37608238","WorldCat Record")</f>
        <v>WorldCat Record</v>
      </c>
      <c r="AU19" s="3" t="s">
        <v>321</v>
      </c>
      <c r="AV19" s="3" t="s">
        <v>322</v>
      </c>
      <c r="AW19" s="3" t="s">
        <v>323</v>
      </c>
      <c r="AX19" s="3" t="s">
        <v>323</v>
      </c>
      <c r="AY19" s="3" t="s">
        <v>324</v>
      </c>
      <c r="AZ19" s="3" t="s">
        <v>75</v>
      </c>
      <c r="BB19" s="3" t="s">
        <v>325</v>
      </c>
      <c r="BC19" s="3" t="s">
        <v>326</v>
      </c>
      <c r="BD19" s="3" t="s">
        <v>327</v>
      </c>
    </row>
    <row r="20" spans="1:56" ht="39" customHeight="1" x14ac:dyDescent="0.25">
      <c r="A20" s="7" t="s">
        <v>58</v>
      </c>
      <c r="B20" s="2" t="s">
        <v>328</v>
      </c>
      <c r="C20" s="2" t="s">
        <v>329</v>
      </c>
      <c r="D20" s="2" t="s">
        <v>330</v>
      </c>
      <c r="F20" s="3" t="s">
        <v>58</v>
      </c>
      <c r="G20" s="3" t="s">
        <v>59</v>
      </c>
      <c r="H20" s="3" t="s">
        <v>58</v>
      </c>
      <c r="I20" s="3" t="s">
        <v>58</v>
      </c>
      <c r="J20" s="3" t="s">
        <v>60</v>
      </c>
      <c r="K20" s="2" t="s">
        <v>331</v>
      </c>
      <c r="L20" s="2" t="s">
        <v>332</v>
      </c>
      <c r="M20" s="3" t="s">
        <v>215</v>
      </c>
      <c r="O20" s="3" t="s">
        <v>65</v>
      </c>
      <c r="P20" s="3" t="s">
        <v>274</v>
      </c>
      <c r="R20" s="3" t="s">
        <v>68</v>
      </c>
      <c r="S20" s="4">
        <v>1</v>
      </c>
      <c r="T20" s="4">
        <v>1</v>
      </c>
      <c r="U20" s="5" t="s">
        <v>333</v>
      </c>
      <c r="V20" s="5" t="s">
        <v>333</v>
      </c>
      <c r="W20" s="5" t="s">
        <v>260</v>
      </c>
      <c r="X20" s="5" t="s">
        <v>260</v>
      </c>
      <c r="Y20" s="4">
        <v>284</v>
      </c>
      <c r="Z20" s="4">
        <v>238</v>
      </c>
      <c r="AA20" s="4">
        <v>239</v>
      </c>
      <c r="AB20" s="4">
        <v>3</v>
      </c>
      <c r="AC20" s="4">
        <v>3</v>
      </c>
      <c r="AD20" s="4">
        <v>20</v>
      </c>
      <c r="AE20" s="4">
        <v>20</v>
      </c>
      <c r="AF20" s="4">
        <v>8</v>
      </c>
      <c r="AG20" s="4">
        <v>8</v>
      </c>
      <c r="AH20" s="4">
        <v>2</v>
      </c>
      <c r="AI20" s="4">
        <v>2</v>
      </c>
      <c r="AJ20" s="4">
        <v>12</v>
      </c>
      <c r="AK20" s="4">
        <v>12</v>
      </c>
      <c r="AL20" s="4">
        <v>2</v>
      </c>
      <c r="AM20" s="4">
        <v>2</v>
      </c>
      <c r="AN20" s="4">
        <v>0</v>
      </c>
      <c r="AO20" s="4">
        <v>0</v>
      </c>
      <c r="AP20" s="3" t="s">
        <v>58</v>
      </c>
      <c r="AQ20" s="3" t="s">
        <v>58</v>
      </c>
      <c r="AS20" s="6" t="str">
        <f>HYPERLINK("https://creighton-primo.hosted.exlibrisgroup.com/primo-explore/search?tab=default_tab&amp;search_scope=EVERYTHING&amp;vid=01CRU&amp;lang=en_US&amp;offset=0&amp;query=any,contains,991000985829702656","Catalog Record")</f>
        <v>Catalog Record</v>
      </c>
      <c r="AT20" s="6" t="str">
        <f>HYPERLINK("http://www.worldcat.org/oclc/15081847","WorldCat Record")</f>
        <v>WorldCat Record</v>
      </c>
      <c r="AU20" s="3" t="s">
        <v>334</v>
      </c>
      <c r="AV20" s="3" t="s">
        <v>335</v>
      </c>
      <c r="AW20" s="3" t="s">
        <v>336</v>
      </c>
      <c r="AX20" s="3" t="s">
        <v>336</v>
      </c>
      <c r="AY20" s="3" t="s">
        <v>337</v>
      </c>
      <c r="AZ20" s="3" t="s">
        <v>75</v>
      </c>
      <c r="BB20" s="3" t="s">
        <v>338</v>
      </c>
      <c r="BC20" s="3" t="s">
        <v>339</v>
      </c>
      <c r="BD20" s="3" t="s">
        <v>340</v>
      </c>
    </row>
    <row r="21" spans="1:56" ht="39" customHeight="1" x14ac:dyDescent="0.25">
      <c r="A21" s="7" t="s">
        <v>58</v>
      </c>
      <c r="B21" s="2" t="s">
        <v>341</v>
      </c>
      <c r="C21" s="2" t="s">
        <v>342</v>
      </c>
      <c r="D21" s="2" t="s">
        <v>343</v>
      </c>
      <c r="F21" s="3" t="s">
        <v>58</v>
      </c>
      <c r="G21" s="3" t="s">
        <v>59</v>
      </c>
      <c r="H21" s="3" t="s">
        <v>58</v>
      </c>
      <c r="I21" s="3" t="s">
        <v>58</v>
      </c>
      <c r="J21" s="3" t="s">
        <v>60</v>
      </c>
      <c r="K21" s="2" t="s">
        <v>344</v>
      </c>
      <c r="L21" s="2" t="s">
        <v>345</v>
      </c>
      <c r="M21" s="3" t="s">
        <v>157</v>
      </c>
      <c r="O21" s="3" t="s">
        <v>65</v>
      </c>
      <c r="P21" s="3" t="s">
        <v>346</v>
      </c>
      <c r="R21" s="3" t="s">
        <v>68</v>
      </c>
      <c r="S21" s="4">
        <v>3</v>
      </c>
      <c r="T21" s="4">
        <v>3</v>
      </c>
      <c r="U21" s="5" t="s">
        <v>347</v>
      </c>
      <c r="V21" s="5" t="s">
        <v>347</v>
      </c>
      <c r="W21" s="5" t="s">
        <v>348</v>
      </c>
      <c r="X21" s="5" t="s">
        <v>348</v>
      </c>
      <c r="Y21" s="4">
        <v>390</v>
      </c>
      <c r="Z21" s="4">
        <v>314</v>
      </c>
      <c r="AA21" s="4">
        <v>320</v>
      </c>
      <c r="AB21" s="4">
        <v>5</v>
      </c>
      <c r="AC21" s="4">
        <v>5</v>
      </c>
      <c r="AD21" s="4">
        <v>20</v>
      </c>
      <c r="AE21" s="4">
        <v>20</v>
      </c>
      <c r="AF21" s="4">
        <v>7</v>
      </c>
      <c r="AG21" s="4">
        <v>7</v>
      </c>
      <c r="AH21" s="4">
        <v>4</v>
      </c>
      <c r="AI21" s="4">
        <v>4</v>
      </c>
      <c r="AJ21" s="4">
        <v>9</v>
      </c>
      <c r="AK21" s="4">
        <v>9</v>
      </c>
      <c r="AL21" s="4">
        <v>3</v>
      </c>
      <c r="AM21" s="4">
        <v>3</v>
      </c>
      <c r="AN21" s="4">
        <v>0</v>
      </c>
      <c r="AO21" s="4">
        <v>0</v>
      </c>
      <c r="AP21" s="3" t="s">
        <v>58</v>
      </c>
      <c r="AQ21" s="3" t="s">
        <v>58</v>
      </c>
      <c r="AS21" s="6" t="str">
        <f>HYPERLINK("https://creighton-primo.hosted.exlibrisgroup.com/primo-explore/search?tab=default_tab&amp;search_scope=EVERYTHING&amp;vid=01CRU&amp;lang=en_US&amp;offset=0&amp;query=any,contains,991005164259702656","Catalog Record")</f>
        <v>Catalog Record</v>
      </c>
      <c r="AT21" s="6" t="str">
        <f>HYPERLINK("http://www.worldcat.org/oclc/7813463","WorldCat Record")</f>
        <v>WorldCat Record</v>
      </c>
      <c r="AU21" s="3" t="s">
        <v>349</v>
      </c>
      <c r="AV21" s="3" t="s">
        <v>350</v>
      </c>
      <c r="AW21" s="3" t="s">
        <v>351</v>
      </c>
      <c r="AX21" s="3" t="s">
        <v>351</v>
      </c>
      <c r="AY21" s="3" t="s">
        <v>352</v>
      </c>
      <c r="AZ21" s="3" t="s">
        <v>75</v>
      </c>
      <c r="BB21" s="3" t="s">
        <v>353</v>
      </c>
      <c r="BC21" s="3" t="s">
        <v>354</v>
      </c>
      <c r="BD21" s="3" t="s">
        <v>355</v>
      </c>
    </row>
    <row r="22" spans="1:56" ht="39" customHeight="1" x14ac:dyDescent="0.25">
      <c r="A22" s="7" t="s">
        <v>58</v>
      </c>
      <c r="B22" s="2" t="s">
        <v>356</v>
      </c>
      <c r="C22" s="2" t="s">
        <v>357</v>
      </c>
      <c r="D22" s="2" t="s">
        <v>358</v>
      </c>
      <c r="F22" s="3" t="s">
        <v>58</v>
      </c>
      <c r="G22" s="3" t="s">
        <v>59</v>
      </c>
      <c r="H22" s="3" t="s">
        <v>58</v>
      </c>
      <c r="I22" s="3" t="s">
        <v>58</v>
      </c>
      <c r="J22" s="3" t="s">
        <v>60</v>
      </c>
      <c r="K22" s="2" t="s">
        <v>359</v>
      </c>
      <c r="L22" s="2" t="s">
        <v>360</v>
      </c>
      <c r="M22" s="3" t="s">
        <v>361</v>
      </c>
      <c r="O22" s="3" t="s">
        <v>65</v>
      </c>
      <c r="P22" s="3" t="s">
        <v>84</v>
      </c>
      <c r="R22" s="3" t="s">
        <v>68</v>
      </c>
      <c r="S22" s="4">
        <v>6</v>
      </c>
      <c r="T22" s="4">
        <v>6</v>
      </c>
      <c r="U22" s="5" t="s">
        <v>362</v>
      </c>
      <c r="V22" s="5" t="s">
        <v>362</v>
      </c>
      <c r="W22" s="5" t="s">
        <v>260</v>
      </c>
      <c r="X22" s="5" t="s">
        <v>260</v>
      </c>
      <c r="Y22" s="4">
        <v>126</v>
      </c>
      <c r="Z22" s="4">
        <v>112</v>
      </c>
      <c r="AA22" s="4">
        <v>112</v>
      </c>
      <c r="AB22" s="4">
        <v>2</v>
      </c>
      <c r="AC22" s="4">
        <v>2</v>
      </c>
      <c r="AD22" s="4">
        <v>6</v>
      </c>
      <c r="AE22" s="4">
        <v>6</v>
      </c>
      <c r="AF22" s="4">
        <v>2</v>
      </c>
      <c r="AG22" s="4">
        <v>2</v>
      </c>
      <c r="AH22" s="4">
        <v>1</v>
      </c>
      <c r="AI22" s="4">
        <v>1</v>
      </c>
      <c r="AJ22" s="4">
        <v>2</v>
      </c>
      <c r="AK22" s="4">
        <v>2</v>
      </c>
      <c r="AL22" s="4">
        <v>1</v>
      </c>
      <c r="AM22" s="4">
        <v>1</v>
      </c>
      <c r="AN22" s="4">
        <v>0</v>
      </c>
      <c r="AO22" s="4">
        <v>0</v>
      </c>
      <c r="AP22" s="3" t="s">
        <v>58</v>
      </c>
      <c r="AQ22" s="3" t="s">
        <v>58</v>
      </c>
      <c r="AS22" s="6" t="str">
        <f>HYPERLINK("https://creighton-primo.hosted.exlibrisgroup.com/primo-explore/search?tab=default_tab&amp;search_scope=EVERYTHING&amp;vid=01CRU&amp;lang=en_US&amp;offset=0&amp;query=any,contains,991000112269702656","Catalog Record")</f>
        <v>Catalog Record</v>
      </c>
      <c r="AT22" s="6" t="str">
        <f>HYPERLINK("http://www.worldcat.org/oclc/9016858","WorldCat Record")</f>
        <v>WorldCat Record</v>
      </c>
      <c r="AU22" s="3" t="s">
        <v>363</v>
      </c>
      <c r="AV22" s="3" t="s">
        <v>364</v>
      </c>
      <c r="AW22" s="3" t="s">
        <v>365</v>
      </c>
      <c r="AX22" s="3" t="s">
        <v>365</v>
      </c>
      <c r="AY22" s="3" t="s">
        <v>366</v>
      </c>
      <c r="AZ22" s="3" t="s">
        <v>75</v>
      </c>
      <c r="BB22" s="3" t="s">
        <v>367</v>
      </c>
      <c r="BC22" s="3" t="s">
        <v>368</v>
      </c>
      <c r="BD22" s="3" t="s">
        <v>369</v>
      </c>
    </row>
    <row r="23" spans="1:56" ht="39" customHeight="1" x14ac:dyDescent="0.25">
      <c r="A23" s="7" t="s">
        <v>58</v>
      </c>
      <c r="B23" s="2" t="s">
        <v>370</v>
      </c>
      <c r="C23" s="2" t="s">
        <v>371</v>
      </c>
      <c r="D23" s="2" t="s">
        <v>372</v>
      </c>
      <c r="F23" s="3" t="s">
        <v>58</v>
      </c>
      <c r="G23" s="3" t="s">
        <v>59</v>
      </c>
      <c r="H23" s="3" t="s">
        <v>58</v>
      </c>
      <c r="I23" s="3" t="s">
        <v>58</v>
      </c>
      <c r="J23" s="3" t="s">
        <v>60</v>
      </c>
      <c r="L23" s="2" t="s">
        <v>373</v>
      </c>
      <c r="M23" s="3" t="s">
        <v>374</v>
      </c>
      <c r="O23" s="3" t="s">
        <v>65</v>
      </c>
      <c r="P23" s="3" t="s">
        <v>274</v>
      </c>
      <c r="R23" s="3" t="s">
        <v>68</v>
      </c>
      <c r="S23" s="4">
        <v>3</v>
      </c>
      <c r="T23" s="4">
        <v>3</v>
      </c>
      <c r="U23" s="5" t="s">
        <v>375</v>
      </c>
      <c r="V23" s="5" t="s">
        <v>375</v>
      </c>
      <c r="W23" s="5" t="s">
        <v>376</v>
      </c>
      <c r="X23" s="5" t="s">
        <v>376</v>
      </c>
      <c r="Y23" s="4">
        <v>314</v>
      </c>
      <c r="Z23" s="4">
        <v>259</v>
      </c>
      <c r="AA23" s="4">
        <v>259</v>
      </c>
      <c r="AB23" s="4">
        <v>3</v>
      </c>
      <c r="AC23" s="4">
        <v>3</v>
      </c>
      <c r="AD23" s="4">
        <v>22</v>
      </c>
      <c r="AE23" s="4">
        <v>22</v>
      </c>
      <c r="AF23" s="4">
        <v>11</v>
      </c>
      <c r="AG23" s="4">
        <v>11</v>
      </c>
      <c r="AH23" s="4">
        <v>3</v>
      </c>
      <c r="AI23" s="4">
        <v>3</v>
      </c>
      <c r="AJ23" s="4">
        <v>11</v>
      </c>
      <c r="AK23" s="4">
        <v>11</v>
      </c>
      <c r="AL23" s="4">
        <v>2</v>
      </c>
      <c r="AM23" s="4">
        <v>2</v>
      </c>
      <c r="AN23" s="4">
        <v>0</v>
      </c>
      <c r="AO23" s="4">
        <v>0</v>
      </c>
      <c r="AP23" s="3" t="s">
        <v>58</v>
      </c>
      <c r="AQ23" s="3" t="s">
        <v>58</v>
      </c>
      <c r="AS23" s="6" t="str">
        <f>HYPERLINK("https://creighton-primo.hosted.exlibrisgroup.com/primo-explore/search?tab=default_tab&amp;search_scope=EVERYTHING&amp;vid=01CRU&amp;lang=en_US&amp;offset=0&amp;query=any,contains,991002503619702656","Catalog Record")</f>
        <v>Catalog Record</v>
      </c>
      <c r="AT23" s="6" t="str">
        <f>HYPERLINK("http://www.worldcat.org/oclc/32552013","WorldCat Record")</f>
        <v>WorldCat Record</v>
      </c>
      <c r="AU23" s="3" t="s">
        <v>377</v>
      </c>
      <c r="AV23" s="3" t="s">
        <v>378</v>
      </c>
      <c r="AW23" s="3" t="s">
        <v>379</v>
      </c>
      <c r="AX23" s="3" t="s">
        <v>379</v>
      </c>
      <c r="AY23" s="3" t="s">
        <v>380</v>
      </c>
      <c r="AZ23" s="3" t="s">
        <v>75</v>
      </c>
      <c r="BB23" s="3" t="s">
        <v>381</v>
      </c>
      <c r="BC23" s="3" t="s">
        <v>382</v>
      </c>
      <c r="BD23" s="3" t="s">
        <v>383</v>
      </c>
    </row>
    <row r="24" spans="1:56" ht="39" customHeight="1" x14ac:dyDescent="0.25">
      <c r="A24" s="7" t="s">
        <v>58</v>
      </c>
      <c r="B24" s="2" t="s">
        <v>384</v>
      </c>
      <c r="C24" s="2" t="s">
        <v>385</v>
      </c>
      <c r="D24" s="2" t="s">
        <v>386</v>
      </c>
      <c r="F24" s="3" t="s">
        <v>58</v>
      </c>
      <c r="G24" s="3" t="s">
        <v>59</v>
      </c>
      <c r="H24" s="3" t="s">
        <v>58</v>
      </c>
      <c r="I24" s="3" t="s">
        <v>58</v>
      </c>
      <c r="J24" s="3" t="s">
        <v>60</v>
      </c>
      <c r="K24" s="2" t="s">
        <v>387</v>
      </c>
      <c r="L24" s="2" t="s">
        <v>388</v>
      </c>
      <c r="M24" s="3" t="s">
        <v>389</v>
      </c>
      <c r="O24" s="3" t="s">
        <v>65</v>
      </c>
      <c r="P24" s="3" t="s">
        <v>186</v>
      </c>
      <c r="R24" s="3" t="s">
        <v>68</v>
      </c>
      <c r="S24" s="4">
        <v>1</v>
      </c>
      <c r="T24" s="4">
        <v>1</v>
      </c>
      <c r="U24" s="5" t="s">
        <v>390</v>
      </c>
      <c r="V24" s="5" t="s">
        <v>390</v>
      </c>
      <c r="W24" s="5" t="s">
        <v>391</v>
      </c>
      <c r="X24" s="5" t="s">
        <v>391</v>
      </c>
      <c r="Y24" s="4">
        <v>847</v>
      </c>
      <c r="Z24" s="4">
        <v>714</v>
      </c>
      <c r="AA24" s="4">
        <v>720</v>
      </c>
      <c r="AB24" s="4">
        <v>5</v>
      </c>
      <c r="AC24" s="4">
        <v>5</v>
      </c>
      <c r="AD24" s="4">
        <v>36</v>
      </c>
      <c r="AE24" s="4">
        <v>36</v>
      </c>
      <c r="AF24" s="4">
        <v>15</v>
      </c>
      <c r="AG24" s="4">
        <v>15</v>
      </c>
      <c r="AH24" s="4">
        <v>8</v>
      </c>
      <c r="AI24" s="4">
        <v>8</v>
      </c>
      <c r="AJ24" s="4">
        <v>19</v>
      </c>
      <c r="AK24" s="4">
        <v>19</v>
      </c>
      <c r="AL24" s="4">
        <v>3</v>
      </c>
      <c r="AM24" s="4">
        <v>3</v>
      </c>
      <c r="AN24" s="4">
        <v>0</v>
      </c>
      <c r="AO24" s="4">
        <v>0</v>
      </c>
      <c r="AP24" s="3" t="s">
        <v>58</v>
      </c>
      <c r="AQ24" s="3" t="s">
        <v>132</v>
      </c>
      <c r="AR24" s="6" t="str">
        <f>HYPERLINK("http://catalog.hathitrust.org/Record/001413616","HathiTrust Record")</f>
        <v>HathiTrust Record</v>
      </c>
      <c r="AS24" s="6" t="str">
        <f>HYPERLINK("https://creighton-primo.hosted.exlibrisgroup.com/primo-explore/search?tab=default_tab&amp;search_scope=EVERYTHING&amp;vid=01CRU&amp;lang=en_US&amp;offset=0&amp;query=any,contains,991002805529702656","Catalog Record")</f>
        <v>Catalog Record</v>
      </c>
      <c r="AT24" s="6" t="str">
        <f>HYPERLINK("http://www.worldcat.org/oclc/449371","WorldCat Record")</f>
        <v>WorldCat Record</v>
      </c>
      <c r="AU24" s="3" t="s">
        <v>392</v>
      </c>
      <c r="AV24" s="3" t="s">
        <v>393</v>
      </c>
      <c r="AW24" s="3" t="s">
        <v>394</v>
      </c>
      <c r="AX24" s="3" t="s">
        <v>394</v>
      </c>
      <c r="AY24" s="3" t="s">
        <v>395</v>
      </c>
      <c r="AZ24" s="3" t="s">
        <v>75</v>
      </c>
      <c r="BC24" s="3" t="s">
        <v>396</v>
      </c>
      <c r="BD24" s="3" t="s">
        <v>397</v>
      </c>
    </row>
    <row r="25" spans="1:56" ht="39" customHeight="1" x14ac:dyDescent="0.25">
      <c r="A25" s="7" t="s">
        <v>58</v>
      </c>
      <c r="B25" s="2" t="s">
        <v>398</v>
      </c>
      <c r="C25" s="2" t="s">
        <v>399</v>
      </c>
      <c r="D25" s="2" t="s">
        <v>400</v>
      </c>
      <c r="F25" s="3" t="s">
        <v>58</v>
      </c>
      <c r="G25" s="3" t="s">
        <v>59</v>
      </c>
      <c r="H25" s="3" t="s">
        <v>58</v>
      </c>
      <c r="I25" s="3" t="s">
        <v>58</v>
      </c>
      <c r="J25" s="3" t="s">
        <v>60</v>
      </c>
      <c r="L25" s="2" t="s">
        <v>401</v>
      </c>
      <c r="M25" s="3" t="s">
        <v>361</v>
      </c>
      <c r="O25" s="3" t="s">
        <v>65</v>
      </c>
      <c r="P25" s="3" t="s">
        <v>274</v>
      </c>
      <c r="R25" s="3" t="s">
        <v>68</v>
      </c>
      <c r="S25" s="4">
        <v>1</v>
      </c>
      <c r="T25" s="4">
        <v>1</v>
      </c>
      <c r="U25" s="5" t="s">
        <v>402</v>
      </c>
      <c r="V25" s="5" t="s">
        <v>402</v>
      </c>
      <c r="W25" s="5" t="s">
        <v>391</v>
      </c>
      <c r="X25" s="5" t="s">
        <v>391</v>
      </c>
      <c r="Y25" s="4">
        <v>346</v>
      </c>
      <c r="Z25" s="4">
        <v>290</v>
      </c>
      <c r="AA25" s="4">
        <v>296</v>
      </c>
      <c r="AB25" s="4">
        <v>3</v>
      </c>
      <c r="AC25" s="4">
        <v>3</v>
      </c>
      <c r="AD25" s="4">
        <v>24</v>
      </c>
      <c r="AE25" s="4">
        <v>24</v>
      </c>
      <c r="AF25" s="4">
        <v>10</v>
      </c>
      <c r="AG25" s="4">
        <v>10</v>
      </c>
      <c r="AH25" s="4">
        <v>6</v>
      </c>
      <c r="AI25" s="4">
        <v>6</v>
      </c>
      <c r="AJ25" s="4">
        <v>13</v>
      </c>
      <c r="AK25" s="4">
        <v>13</v>
      </c>
      <c r="AL25" s="4">
        <v>2</v>
      </c>
      <c r="AM25" s="4">
        <v>2</v>
      </c>
      <c r="AN25" s="4">
        <v>0</v>
      </c>
      <c r="AO25" s="4">
        <v>0</v>
      </c>
      <c r="AP25" s="3" t="s">
        <v>58</v>
      </c>
      <c r="AQ25" s="3" t="s">
        <v>58</v>
      </c>
      <c r="AS25" s="6" t="str">
        <f>HYPERLINK("https://creighton-primo.hosted.exlibrisgroup.com/primo-explore/search?tab=default_tab&amp;search_scope=EVERYTHING&amp;vid=01CRU&amp;lang=en_US&amp;offset=0&amp;query=any,contains,991000140579702656","Catalog Record")</f>
        <v>Catalog Record</v>
      </c>
      <c r="AT25" s="6" t="str">
        <f>HYPERLINK("http://www.worldcat.org/oclc/9154536","WorldCat Record")</f>
        <v>WorldCat Record</v>
      </c>
      <c r="AU25" s="3" t="s">
        <v>403</v>
      </c>
      <c r="AV25" s="3" t="s">
        <v>404</v>
      </c>
      <c r="AW25" s="3" t="s">
        <v>405</v>
      </c>
      <c r="AX25" s="3" t="s">
        <v>405</v>
      </c>
      <c r="AY25" s="3" t="s">
        <v>406</v>
      </c>
      <c r="AZ25" s="3" t="s">
        <v>75</v>
      </c>
      <c r="BB25" s="3" t="s">
        <v>407</v>
      </c>
      <c r="BC25" s="3" t="s">
        <v>408</v>
      </c>
      <c r="BD25" s="3" t="s">
        <v>409</v>
      </c>
    </row>
    <row r="26" spans="1:56" ht="39" customHeight="1" x14ac:dyDescent="0.25">
      <c r="A26" s="7" t="s">
        <v>58</v>
      </c>
      <c r="B26" s="2" t="s">
        <v>410</v>
      </c>
      <c r="C26" s="2" t="s">
        <v>411</v>
      </c>
      <c r="D26" s="2" t="s">
        <v>412</v>
      </c>
      <c r="F26" s="3" t="s">
        <v>58</v>
      </c>
      <c r="G26" s="3" t="s">
        <v>59</v>
      </c>
      <c r="H26" s="3" t="s">
        <v>58</v>
      </c>
      <c r="I26" s="3" t="s">
        <v>58</v>
      </c>
      <c r="J26" s="3" t="s">
        <v>60</v>
      </c>
      <c r="K26" s="2" t="s">
        <v>413</v>
      </c>
      <c r="L26" s="2" t="s">
        <v>414</v>
      </c>
      <c r="M26" s="3" t="s">
        <v>415</v>
      </c>
      <c r="O26" s="3" t="s">
        <v>65</v>
      </c>
      <c r="P26" s="3" t="s">
        <v>66</v>
      </c>
      <c r="R26" s="3" t="s">
        <v>68</v>
      </c>
      <c r="S26" s="4">
        <v>1</v>
      </c>
      <c r="T26" s="4">
        <v>1</v>
      </c>
      <c r="U26" s="5" t="s">
        <v>416</v>
      </c>
      <c r="V26" s="5" t="s">
        <v>416</v>
      </c>
      <c r="W26" s="5" t="s">
        <v>348</v>
      </c>
      <c r="X26" s="5" t="s">
        <v>348</v>
      </c>
      <c r="Y26" s="4">
        <v>318</v>
      </c>
      <c r="Z26" s="4">
        <v>213</v>
      </c>
      <c r="AA26" s="4">
        <v>234</v>
      </c>
      <c r="AB26" s="4">
        <v>4</v>
      </c>
      <c r="AC26" s="4">
        <v>4</v>
      </c>
      <c r="AD26" s="4">
        <v>14</v>
      </c>
      <c r="AE26" s="4">
        <v>14</v>
      </c>
      <c r="AF26" s="4">
        <v>4</v>
      </c>
      <c r="AG26" s="4">
        <v>4</v>
      </c>
      <c r="AH26" s="4">
        <v>1</v>
      </c>
      <c r="AI26" s="4">
        <v>1</v>
      </c>
      <c r="AJ26" s="4">
        <v>8</v>
      </c>
      <c r="AK26" s="4">
        <v>8</v>
      </c>
      <c r="AL26" s="4">
        <v>3</v>
      </c>
      <c r="AM26" s="4">
        <v>3</v>
      </c>
      <c r="AN26" s="4">
        <v>0</v>
      </c>
      <c r="AO26" s="4">
        <v>0</v>
      </c>
      <c r="AP26" s="3" t="s">
        <v>58</v>
      </c>
      <c r="AQ26" s="3" t="s">
        <v>132</v>
      </c>
      <c r="AR26" s="6" t="str">
        <f>HYPERLINK("http://catalog.hathitrust.org/Record/004508825","HathiTrust Record")</f>
        <v>HathiTrust Record</v>
      </c>
      <c r="AS26" s="6" t="str">
        <f>HYPERLINK("https://creighton-primo.hosted.exlibrisgroup.com/primo-explore/search?tab=default_tab&amp;search_scope=EVERYTHING&amp;vid=01CRU&amp;lang=en_US&amp;offset=0&amp;query=any,contains,991002646029702656","Catalog Record")</f>
        <v>Catalog Record</v>
      </c>
      <c r="AT26" s="6" t="str">
        <f>HYPERLINK("http://www.worldcat.org/oclc/385828","WorldCat Record")</f>
        <v>WorldCat Record</v>
      </c>
      <c r="AU26" s="3" t="s">
        <v>417</v>
      </c>
      <c r="AV26" s="3" t="s">
        <v>418</v>
      </c>
      <c r="AW26" s="3" t="s">
        <v>419</v>
      </c>
      <c r="AX26" s="3" t="s">
        <v>419</v>
      </c>
      <c r="AY26" s="3" t="s">
        <v>420</v>
      </c>
      <c r="AZ26" s="3" t="s">
        <v>75</v>
      </c>
      <c r="BC26" s="3" t="s">
        <v>421</v>
      </c>
      <c r="BD26" s="3" t="s">
        <v>422</v>
      </c>
    </row>
    <row r="27" spans="1:56" ht="39" customHeight="1" x14ac:dyDescent="0.25">
      <c r="A27" s="7" t="s">
        <v>58</v>
      </c>
      <c r="B27" s="2" t="s">
        <v>423</v>
      </c>
      <c r="C27" s="2" t="s">
        <v>424</v>
      </c>
      <c r="D27" s="2" t="s">
        <v>425</v>
      </c>
      <c r="F27" s="3" t="s">
        <v>58</v>
      </c>
      <c r="G27" s="3" t="s">
        <v>59</v>
      </c>
      <c r="H27" s="3" t="s">
        <v>58</v>
      </c>
      <c r="I27" s="3" t="s">
        <v>132</v>
      </c>
      <c r="J27" s="3" t="s">
        <v>60</v>
      </c>
      <c r="L27" s="2" t="s">
        <v>426</v>
      </c>
      <c r="M27" s="3" t="s">
        <v>427</v>
      </c>
      <c r="O27" s="3" t="s">
        <v>65</v>
      </c>
      <c r="P27" s="3" t="s">
        <v>113</v>
      </c>
      <c r="R27" s="3" t="s">
        <v>68</v>
      </c>
      <c r="S27" s="4">
        <v>4</v>
      </c>
      <c r="T27" s="4">
        <v>4</v>
      </c>
      <c r="U27" s="5" t="s">
        <v>428</v>
      </c>
      <c r="V27" s="5" t="s">
        <v>428</v>
      </c>
      <c r="W27" s="5" t="s">
        <v>391</v>
      </c>
      <c r="X27" s="5" t="s">
        <v>391</v>
      </c>
      <c r="Y27" s="4">
        <v>190</v>
      </c>
      <c r="Z27" s="4">
        <v>166</v>
      </c>
      <c r="AA27" s="4">
        <v>184</v>
      </c>
      <c r="AB27" s="4">
        <v>4</v>
      </c>
      <c r="AC27" s="4">
        <v>4</v>
      </c>
      <c r="AD27" s="4">
        <v>25</v>
      </c>
      <c r="AE27" s="4">
        <v>28</v>
      </c>
      <c r="AF27" s="4">
        <v>8</v>
      </c>
      <c r="AG27" s="4">
        <v>9</v>
      </c>
      <c r="AH27" s="4">
        <v>6</v>
      </c>
      <c r="AI27" s="4">
        <v>7</v>
      </c>
      <c r="AJ27" s="4">
        <v>18</v>
      </c>
      <c r="AK27" s="4">
        <v>20</v>
      </c>
      <c r="AL27" s="4">
        <v>1</v>
      </c>
      <c r="AM27" s="4">
        <v>1</v>
      </c>
      <c r="AN27" s="4">
        <v>0</v>
      </c>
      <c r="AO27" s="4">
        <v>0</v>
      </c>
      <c r="AP27" s="3" t="s">
        <v>58</v>
      </c>
      <c r="AQ27" s="3" t="s">
        <v>58</v>
      </c>
      <c r="AS27" s="6" t="str">
        <f>HYPERLINK("https://creighton-primo.hosted.exlibrisgroup.com/primo-explore/search?tab=default_tab&amp;search_scope=EVERYTHING&amp;vid=01CRU&amp;lang=en_US&amp;offset=0&amp;query=any,contains,991004725909702656","Catalog Record")</f>
        <v>Catalog Record</v>
      </c>
      <c r="AT27" s="6" t="str">
        <f>HYPERLINK("http://www.worldcat.org/oclc/4811508","WorldCat Record")</f>
        <v>WorldCat Record</v>
      </c>
      <c r="AU27" s="3" t="s">
        <v>429</v>
      </c>
      <c r="AV27" s="3" t="s">
        <v>430</v>
      </c>
      <c r="AW27" s="3" t="s">
        <v>431</v>
      </c>
      <c r="AX27" s="3" t="s">
        <v>431</v>
      </c>
      <c r="AY27" s="3" t="s">
        <v>432</v>
      </c>
      <c r="AZ27" s="3" t="s">
        <v>75</v>
      </c>
      <c r="BC27" s="3" t="s">
        <v>433</v>
      </c>
      <c r="BD27" s="3" t="s">
        <v>434</v>
      </c>
    </row>
    <row r="28" spans="1:56" ht="39" customHeight="1" x14ac:dyDescent="0.25">
      <c r="A28" s="7" t="s">
        <v>58</v>
      </c>
      <c r="B28" s="2" t="s">
        <v>435</v>
      </c>
      <c r="C28" s="2" t="s">
        <v>436</v>
      </c>
      <c r="D28" s="2" t="s">
        <v>437</v>
      </c>
      <c r="F28" s="3" t="s">
        <v>58</v>
      </c>
      <c r="G28" s="3" t="s">
        <v>59</v>
      </c>
      <c r="H28" s="3" t="s">
        <v>58</v>
      </c>
      <c r="I28" s="3" t="s">
        <v>58</v>
      </c>
      <c r="J28" s="3" t="s">
        <v>60</v>
      </c>
      <c r="L28" s="2" t="s">
        <v>438</v>
      </c>
      <c r="M28" s="3" t="s">
        <v>439</v>
      </c>
      <c r="O28" s="3" t="s">
        <v>65</v>
      </c>
      <c r="P28" s="3" t="s">
        <v>113</v>
      </c>
      <c r="R28" s="3" t="s">
        <v>68</v>
      </c>
      <c r="S28" s="4">
        <v>5</v>
      </c>
      <c r="T28" s="4">
        <v>5</v>
      </c>
      <c r="U28" s="5" t="s">
        <v>428</v>
      </c>
      <c r="V28" s="5" t="s">
        <v>428</v>
      </c>
      <c r="W28" s="5" t="s">
        <v>391</v>
      </c>
      <c r="X28" s="5" t="s">
        <v>391</v>
      </c>
      <c r="Y28" s="4">
        <v>72</v>
      </c>
      <c r="Z28" s="4">
        <v>66</v>
      </c>
      <c r="AA28" s="4">
        <v>70</v>
      </c>
      <c r="AB28" s="4">
        <v>1</v>
      </c>
      <c r="AC28" s="4">
        <v>1</v>
      </c>
      <c r="AD28" s="4">
        <v>11</v>
      </c>
      <c r="AE28" s="4">
        <v>11</v>
      </c>
      <c r="AF28" s="4">
        <v>2</v>
      </c>
      <c r="AG28" s="4">
        <v>2</v>
      </c>
      <c r="AH28" s="4">
        <v>4</v>
      </c>
      <c r="AI28" s="4">
        <v>4</v>
      </c>
      <c r="AJ28" s="4">
        <v>8</v>
      </c>
      <c r="AK28" s="4">
        <v>8</v>
      </c>
      <c r="AL28" s="4">
        <v>0</v>
      </c>
      <c r="AM28" s="4">
        <v>0</v>
      </c>
      <c r="AN28" s="4">
        <v>0</v>
      </c>
      <c r="AO28" s="4">
        <v>0</v>
      </c>
      <c r="AP28" s="3" t="s">
        <v>58</v>
      </c>
      <c r="AQ28" s="3" t="s">
        <v>58</v>
      </c>
      <c r="AS28" s="6" t="str">
        <f>HYPERLINK("https://creighton-primo.hosted.exlibrisgroup.com/primo-explore/search?tab=default_tab&amp;search_scope=EVERYTHING&amp;vid=01CRU&amp;lang=en_US&amp;offset=0&amp;query=any,contains,991005094139702656","Catalog Record")</f>
        <v>Catalog Record</v>
      </c>
      <c r="AT28" s="6" t="str">
        <f>HYPERLINK("http://www.worldcat.org/oclc/7261941","WorldCat Record")</f>
        <v>WorldCat Record</v>
      </c>
      <c r="AU28" s="3" t="s">
        <v>440</v>
      </c>
      <c r="AV28" s="3" t="s">
        <v>441</v>
      </c>
      <c r="AW28" s="3" t="s">
        <v>442</v>
      </c>
      <c r="AX28" s="3" t="s">
        <v>442</v>
      </c>
      <c r="AY28" s="3" t="s">
        <v>443</v>
      </c>
      <c r="AZ28" s="3" t="s">
        <v>75</v>
      </c>
      <c r="BC28" s="3" t="s">
        <v>444</v>
      </c>
      <c r="BD28" s="3" t="s">
        <v>445</v>
      </c>
    </row>
    <row r="29" spans="1:56" ht="39" customHeight="1" x14ac:dyDescent="0.25">
      <c r="A29" s="7" t="s">
        <v>58</v>
      </c>
      <c r="B29" s="2" t="s">
        <v>446</v>
      </c>
      <c r="C29" s="2" t="s">
        <v>447</v>
      </c>
      <c r="D29" s="2" t="s">
        <v>448</v>
      </c>
      <c r="F29" s="3" t="s">
        <v>58</v>
      </c>
      <c r="G29" s="3" t="s">
        <v>59</v>
      </c>
      <c r="H29" s="3" t="s">
        <v>58</v>
      </c>
      <c r="I29" s="3" t="s">
        <v>58</v>
      </c>
      <c r="J29" s="3" t="s">
        <v>60</v>
      </c>
      <c r="L29" s="2" t="s">
        <v>449</v>
      </c>
      <c r="M29" s="3" t="s">
        <v>289</v>
      </c>
      <c r="O29" s="3" t="s">
        <v>65</v>
      </c>
      <c r="P29" s="3" t="s">
        <v>113</v>
      </c>
      <c r="R29" s="3" t="s">
        <v>68</v>
      </c>
      <c r="S29" s="4">
        <v>4</v>
      </c>
      <c r="T29" s="4">
        <v>4</v>
      </c>
      <c r="U29" s="5" t="s">
        <v>450</v>
      </c>
      <c r="V29" s="5" t="s">
        <v>450</v>
      </c>
      <c r="W29" s="5" t="s">
        <v>391</v>
      </c>
      <c r="X29" s="5" t="s">
        <v>391</v>
      </c>
      <c r="Y29" s="4">
        <v>106</v>
      </c>
      <c r="Z29" s="4">
        <v>100</v>
      </c>
      <c r="AA29" s="4">
        <v>100</v>
      </c>
      <c r="AB29" s="4">
        <v>3</v>
      </c>
      <c r="AC29" s="4">
        <v>3</v>
      </c>
      <c r="AD29" s="4">
        <v>21</v>
      </c>
      <c r="AE29" s="4">
        <v>21</v>
      </c>
      <c r="AF29" s="4">
        <v>7</v>
      </c>
      <c r="AG29" s="4">
        <v>7</v>
      </c>
      <c r="AH29" s="4">
        <v>7</v>
      </c>
      <c r="AI29" s="4">
        <v>7</v>
      </c>
      <c r="AJ29" s="4">
        <v>14</v>
      </c>
      <c r="AK29" s="4">
        <v>14</v>
      </c>
      <c r="AL29" s="4">
        <v>1</v>
      </c>
      <c r="AM29" s="4">
        <v>1</v>
      </c>
      <c r="AN29" s="4">
        <v>0</v>
      </c>
      <c r="AO29" s="4">
        <v>0</v>
      </c>
      <c r="AP29" s="3" t="s">
        <v>58</v>
      </c>
      <c r="AQ29" s="3" t="s">
        <v>58</v>
      </c>
      <c r="AS29" s="6" t="str">
        <f>HYPERLINK("https://creighton-primo.hosted.exlibrisgroup.com/primo-explore/search?tab=default_tab&amp;search_scope=EVERYTHING&amp;vid=01CRU&amp;lang=en_US&amp;offset=0&amp;query=any,contains,991005111449702656","Catalog Record")</f>
        <v>Catalog Record</v>
      </c>
      <c r="AT29" s="6" t="str">
        <f>HYPERLINK("http://www.worldcat.org/oclc/7438107","WorldCat Record")</f>
        <v>WorldCat Record</v>
      </c>
      <c r="AU29" s="3" t="s">
        <v>451</v>
      </c>
      <c r="AV29" s="3" t="s">
        <v>452</v>
      </c>
      <c r="AW29" s="3" t="s">
        <v>453</v>
      </c>
      <c r="AX29" s="3" t="s">
        <v>453</v>
      </c>
      <c r="AY29" s="3" t="s">
        <v>454</v>
      </c>
      <c r="AZ29" s="3" t="s">
        <v>75</v>
      </c>
      <c r="BC29" s="3" t="s">
        <v>455</v>
      </c>
      <c r="BD29" s="3" t="s">
        <v>456</v>
      </c>
    </row>
    <row r="30" spans="1:56" ht="39" customHeight="1" x14ac:dyDescent="0.25">
      <c r="A30" s="7" t="s">
        <v>58</v>
      </c>
      <c r="B30" s="2" t="s">
        <v>457</v>
      </c>
      <c r="C30" s="2" t="s">
        <v>458</v>
      </c>
      <c r="D30" s="2" t="s">
        <v>459</v>
      </c>
      <c r="F30" s="3" t="s">
        <v>58</v>
      </c>
      <c r="G30" s="3" t="s">
        <v>59</v>
      </c>
      <c r="H30" s="3" t="s">
        <v>58</v>
      </c>
      <c r="I30" s="3" t="s">
        <v>58</v>
      </c>
      <c r="J30" s="3" t="s">
        <v>60</v>
      </c>
      <c r="K30" s="2" t="s">
        <v>460</v>
      </c>
      <c r="L30" s="2" t="s">
        <v>461</v>
      </c>
      <c r="M30" s="3" t="s">
        <v>462</v>
      </c>
      <c r="O30" s="3" t="s">
        <v>65</v>
      </c>
      <c r="P30" s="3" t="s">
        <v>274</v>
      </c>
      <c r="R30" s="3" t="s">
        <v>68</v>
      </c>
      <c r="S30" s="4">
        <v>1</v>
      </c>
      <c r="T30" s="4">
        <v>1</v>
      </c>
      <c r="U30" s="5" t="s">
        <v>463</v>
      </c>
      <c r="V30" s="5" t="s">
        <v>463</v>
      </c>
      <c r="W30" s="5" t="s">
        <v>391</v>
      </c>
      <c r="X30" s="5" t="s">
        <v>391</v>
      </c>
      <c r="Y30" s="4">
        <v>341</v>
      </c>
      <c r="Z30" s="4">
        <v>281</v>
      </c>
      <c r="AA30" s="4">
        <v>286</v>
      </c>
      <c r="AB30" s="4">
        <v>3</v>
      </c>
      <c r="AC30" s="4">
        <v>3</v>
      </c>
      <c r="AD30" s="4">
        <v>20</v>
      </c>
      <c r="AE30" s="4">
        <v>20</v>
      </c>
      <c r="AF30" s="4">
        <v>8</v>
      </c>
      <c r="AG30" s="4">
        <v>8</v>
      </c>
      <c r="AH30" s="4">
        <v>3</v>
      </c>
      <c r="AI30" s="4">
        <v>3</v>
      </c>
      <c r="AJ30" s="4">
        <v>11</v>
      </c>
      <c r="AK30" s="4">
        <v>11</v>
      </c>
      <c r="AL30" s="4">
        <v>2</v>
      </c>
      <c r="AM30" s="4">
        <v>2</v>
      </c>
      <c r="AN30" s="4">
        <v>0</v>
      </c>
      <c r="AO30" s="4">
        <v>0</v>
      </c>
      <c r="AP30" s="3" t="s">
        <v>58</v>
      </c>
      <c r="AQ30" s="3" t="s">
        <v>58</v>
      </c>
      <c r="AS30" s="6" t="str">
        <f>HYPERLINK("https://creighton-primo.hosted.exlibrisgroup.com/primo-explore/search?tab=default_tab&amp;search_scope=EVERYTHING&amp;vid=01CRU&amp;lang=en_US&amp;offset=0&amp;query=any,contains,991000311529702656","Catalog Record")</f>
        <v>Catalog Record</v>
      </c>
      <c r="AT30" s="6" t="str">
        <f>HYPERLINK("http://www.worldcat.org/oclc/10099249","WorldCat Record")</f>
        <v>WorldCat Record</v>
      </c>
      <c r="AU30" s="3" t="s">
        <v>464</v>
      </c>
      <c r="AV30" s="3" t="s">
        <v>465</v>
      </c>
      <c r="AW30" s="3" t="s">
        <v>466</v>
      </c>
      <c r="AX30" s="3" t="s">
        <v>466</v>
      </c>
      <c r="AY30" s="3" t="s">
        <v>467</v>
      </c>
      <c r="AZ30" s="3" t="s">
        <v>75</v>
      </c>
      <c r="BB30" s="3" t="s">
        <v>468</v>
      </c>
      <c r="BC30" s="3" t="s">
        <v>469</v>
      </c>
      <c r="BD30" s="3" t="s">
        <v>470</v>
      </c>
    </row>
    <row r="31" spans="1:56" ht="39" customHeight="1" x14ac:dyDescent="0.25">
      <c r="A31" s="7" t="s">
        <v>58</v>
      </c>
      <c r="B31" s="2" t="s">
        <v>471</v>
      </c>
      <c r="C31" s="2" t="s">
        <v>472</v>
      </c>
      <c r="D31" s="2" t="s">
        <v>473</v>
      </c>
      <c r="F31" s="3" t="s">
        <v>58</v>
      </c>
      <c r="G31" s="3" t="s">
        <v>59</v>
      </c>
      <c r="H31" s="3" t="s">
        <v>58</v>
      </c>
      <c r="I31" s="3" t="s">
        <v>58</v>
      </c>
      <c r="J31" s="3" t="s">
        <v>60</v>
      </c>
      <c r="K31" s="2" t="s">
        <v>474</v>
      </c>
      <c r="L31" s="2" t="s">
        <v>475</v>
      </c>
      <c r="M31" s="3" t="s">
        <v>229</v>
      </c>
      <c r="N31" s="2" t="s">
        <v>476</v>
      </c>
      <c r="O31" s="3" t="s">
        <v>65</v>
      </c>
      <c r="P31" s="3" t="s">
        <v>477</v>
      </c>
      <c r="R31" s="3" t="s">
        <v>68</v>
      </c>
      <c r="S31" s="4">
        <v>5</v>
      </c>
      <c r="T31" s="4">
        <v>5</v>
      </c>
      <c r="U31" s="5" t="s">
        <v>347</v>
      </c>
      <c r="V31" s="5" t="s">
        <v>347</v>
      </c>
      <c r="W31" s="5" t="s">
        <v>478</v>
      </c>
      <c r="X31" s="5" t="s">
        <v>478</v>
      </c>
      <c r="Y31" s="4">
        <v>296</v>
      </c>
      <c r="Z31" s="4">
        <v>240</v>
      </c>
      <c r="AA31" s="4">
        <v>295</v>
      </c>
      <c r="AB31" s="4">
        <v>2</v>
      </c>
      <c r="AC31" s="4">
        <v>2</v>
      </c>
      <c r="AD31" s="4">
        <v>18</v>
      </c>
      <c r="AE31" s="4">
        <v>26</v>
      </c>
      <c r="AF31" s="4">
        <v>3</v>
      </c>
      <c r="AG31" s="4">
        <v>10</v>
      </c>
      <c r="AH31" s="4">
        <v>6</v>
      </c>
      <c r="AI31" s="4">
        <v>6</v>
      </c>
      <c r="AJ31" s="4">
        <v>11</v>
      </c>
      <c r="AK31" s="4">
        <v>15</v>
      </c>
      <c r="AL31" s="4">
        <v>1</v>
      </c>
      <c r="AM31" s="4">
        <v>1</v>
      </c>
      <c r="AN31" s="4">
        <v>0</v>
      </c>
      <c r="AO31" s="4">
        <v>0</v>
      </c>
      <c r="AP31" s="3" t="s">
        <v>58</v>
      </c>
      <c r="AQ31" s="3" t="s">
        <v>58</v>
      </c>
      <c r="AS31" s="6" t="str">
        <f>HYPERLINK("https://creighton-primo.hosted.exlibrisgroup.com/primo-explore/search?tab=default_tab&amp;search_scope=EVERYTHING&amp;vid=01CRU&amp;lang=en_US&amp;offset=0&amp;query=any,contains,991001410949702656","Catalog Record")</f>
        <v>Catalog Record</v>
      </c>
      <c r="AT31" s="6" t="str">
        <f>HYPERLINK("http://www.worldcat.org/oclc/18907284","WorldCat Record")</f>
        <v>WorldCat Record</v>
      </c>
      <c r="AU31" s="3" t="s">
        <v>479</v>
      </c>
      <c r="AV31" s="3" t="s">
        <v>480</v>
      </c>
      <c r="AW31" s="3" t="s">
        <v>481</v>
      </c>
      <c r="AX31" s="3" t="s">
        <v>481</v>
      </c>
      <c r="AY31" s="3" t="s">
        <v>482</v>
      </c>
      <c r="AZ31" s="3" t="s">
        <v>75</v>
      </c>
      <c r="BB31" s="3" t="s">
        <v>483</v>
      </c>
      <c r="BC31" s="3" t="s">
        <v>484</v>
      </c>
      <c r="BD31" s="3" t="s">
        <v>485</v>
      </c>
    </row>
    <row r="32" spans="1:56" ht="39" customHeight="1" x14ac:dyDescent="0.25">
      <c r="A32" s="7" t="s">
        <v>58</v>
      </c>
      <c r="B32" s="2" t="s">
        <v>486</v>
      </c>
      <c r="C32" s="2" t="s">
        <v>487</v>
      </c>
      <c r="D32" s="2" t="s">
        <v>488</v>
      </c>
      <c r="F32" s="3" t="s">
        <v>58</v>
      </c>
      <c r="G32" s="3" t="s">
        <v>59</v>
      </c>
      <c r="H32" s="3" t="s">
        <v>58</v>
      </c>
      <c r="I32" s="3" t="s">
        <v>58</v>
      </c>
      <c r="J32" s="3" t="s">
        <v>60</v>
      </c>
      <c r="K32" s="2" t="s">
        <v>489</v>
      </c>
      <c r="L32" s="2" t="s">
        <v>490</v>
      </c>
      <c r="M32" s="3" t="s">
        <v>98</v>
      </c>
      <c r="N32" s="2" t="s">
        <v>491</v>
      </c>
      <c r="O32" s="3" t="s">
        <v>65</v>
      </c>
      <c r="P32" s="3" t="s">
        <v>492</v>
      </c>
      <c r="R32" s="3" t="s">
        <v>68</v>
      </c>
      <c r="S32" s="4">
        <v>2</v>
      </c>
      <c r="T32" s="4">
        <v>2</v>
      </c>
      <c r="U32" s="5" t="s">
        <v>493</v>
      </c>
      <c r="V32" s="5" t="s">
        <v>493</v>
      </c>
      <c r="W32" s="5" t="s">
        <v>391</v>
      </c>
      <c r="X32" s="5" t="s">
        <v>391</v>
      </c>
      <c r="Y32" s="4">
        <v>198</v>
      </c>
      <c r="Z32" s="4">
        <v>164</v>
      </c>
      <c r="AA32" s="4">
        <v>177</v>
      </c>
      <c r="AB32" s="4">
        <v>3</v>
      </c>
      <c r="AC32" s="4">
        <v>3</v>
      </c>
      <c r="AD32" s="4">
        <v>22</v>
      </c>
      <c r="AE32" s="4">
        <v>24</v>
      </c>
      <c r="AF32" s="4">
        <v>7</v>
      </c>
      <c r="AG32" s="4">
        <v>8</v>
      </c>
      <c r="AH32" s="4">
        <v>6</v>
      </c>
      <c r="AI32" s="4">
        <v>6</v>
      </c>
      <c r="AJ32" s="4">
        <v>19</v>
      </c>
      <c r="AK32" s="4">
        <v>21</v>
      </c>
      <c r="AL32" s="4">
        <v>0</v>
      </c>
      <c r="AM32" s="4">
        <v>0</v>
      </c>
      <c r="AN32" s="4">
        <v>0</v>
      </c>
      <c r="AO32" s="4">
        <v>0</v>
      </c>
      <c r="AP32" s="3" t="s">
        <v>58</v>
      </c>
      <c r="AQ32" s="3" t="s">
        <v>58</v>
      </c>
      <c r="AS32" s="6" t="str">
        <f>HYPERLINK("https://creighton-primo.hosted.exlibrisgroup.com/primo-explore/search?tab=default_tab&amp;search_scope=EVERYTHING&amp;vid=01CRU&amp;lang=en_US&amp;offset=0&amp;query=any,contains,991004339489702656","Catalog Record")</f>
        <v>Catalog Record</v>
      </c>
      <c r="AT32" s="6" t="str">
        <f>HYPERLINK("http://www.worldcat.org/oclc/3085942","WorldCat Record")</f>
        <v>WorldCat Record</v>
      </c>
      <c r="AU32" s="3" t="s">
        <v>494</v>
      </c>
      <c r="AV32" s="3" t="s">
        <v>495</v>
      </c>
      <c r="AW32" s="3" t="s">
        <v>496</v>
      </c>
      <c r="AX32" s="3" t="s">
        <v>496</v>
      </c>
      <c r="AY32" s="3" t="s">
        <v>497</v>
      </c>
      <c r="AZ32" s="3" t="s">
        <v>75</v>
      </c>
      <c r="BC32" s="3" t="s">
        <v>498</v>
      </c>
      <c r="BD32" s="3" t="s">
        <v>499</v>
      </c>
    </row>
    <row r="33" spans="1:56" ht="39" customHeight="1" x14ac:dyDescent="0.25">
      <c r="A33" s="7" t="s">
        <v>58</v>
      </c>
      <c r="B33" s="2" t="s">
        <v>500</v>
      </c>
      <c r="C33" s="2" t="s">
        <v>501</v>
      </c>
      <c r="D33" s="2" t="s">
        <v>502</v>
      </c>
      <c r="F33" s="3" t="s">
        <v>58</v>
      </c>
      <c r="G33" s="3" t="s">
        <v>59</v>
      </c>
      <c r="H33" s="3" t="s">
        <v>58</v>
      </c>
      <c r="I33" s="3" t="s">
        <v>58</v>
      </c>
      <c r="J33" s="3" t="s">
        <v>60</v>
      </c>
      <c r="K33" s="2" t="s">
        <v>503</v>
      </c>
      <c r="L33" s="2" t="s">
        <v>504</v>
      </c>
      <c r="M33" s="3" t="s">
        <v>172</v>
      </c>
      <c r="O33" s="3" t="s">
        <v>65</v>
      </c>
      <c r="P33" s="3" t="s">
        <v>113</v>
      </c>
      <c r="R33" s="3" t="s">
        <v>68</v>
      </c>
      <c r="S33" s="4">
        <v>5</v>
      </c>
      <c r="T33" s="4">
        <v>5</v>
      </c>
      <c r="U33" s="5" t="s">
        <v>505</v>
      </c>
      <c r="V33" s="5" t="s">
        <v>505</v>
      </c>
      <c r="W33" s="5" t="s">
        <v>391</v>
      </c>
      <c r="X33" s="5" t="s">
        <v>391</v>
      </c>
      <c r="Y33" s="4">
        <v>136</v>
      </c>
      <c r="Z33" s="4">
        <v>122</v>
      </c>
      <c r="AA33" s="4">
        <v>132</v>
      </c>
      <c r="AB33" s="4">
        <v>2</v>
      </c>
      <c r="AC33" s="4">
        <v>2</v>
      </c>
      <c r="AD33" s="4">
        <v>24</v>
      </c>
      <c r="AE33" s="4">
        <v>24</v>
      </c>
      <c r="AF33" s="4">
        <v>7</v>
      </c>
      <c r="AG33" s="4">
        <v>7</v>
      </c>
      <c r="AH33" s="4">
        <v>7</v>
      </c>
      <c r="AI33" s="4">
        <v>7</v>
      </c>
      <c r="AJ33" s="4">
        <v>18</v>
      </c>
      <c r="AK33" s="4">
        <v>18</v>
      </c>
      <c r="AL33" s="4">
        <v>0</v>
      </c>
      <c r="AM33" s="4">
        <v>0</v>
      </c>
      <c r="AN33" s="4">
        <v>0</v>
      </c>
      <c r="AO33" s="4">
        <v>0</v>
      </c>
      <c r="AP33" s="3" t="s">
        <v>58</v>
      </c>
      <c r="AQ33" s="3" t="s">
        <v>58</v>
      </c>
      <c r="AS33" s="6" t="str">
        <f>HYPERLINK("https://creighton-primo.hosted.exlibrisgroup.com/primo-explore/search?tab=default_tab&amp;search_scope=EVERYTHING&amp;vid=01CRU&amp;lang=en_US&amp;offset=0&amp;query=any,contains,991003069019702656","Catalog Record")</f>
        <v>Catalog Record</v>
      </c>
      <c r="AT33" s="6" t="str">
        <f>HYPERLINK("http://www.worldcat.org/oclc/623701","WorldCat Record")</f>
        <v>WorldCat Record</v>
      </c>
      <c r="AU33" s="3" t="s">
        <v>506</v>
      </c>
      <c r="AV33" s="3" t="s">
        <v>507</v>
      </c>
      <c r="AW33" s="3" t="s">
        <v>508</v>
      </c>
      <c r="AX33" s="3" t="s">
        <v>508</v>
      </c>
      <c r="AY33" s="3" t="s">
        <v>509</v>
      </c>
      <c r="AZ33" s="3" t="s">
        <v>75</v>
      </c>
      <c r="BC33" s="3" t="s">
        <v>510</v>
      </c>
      <c r="BD33" s="3" t="s">
        <v>511</v>
      </c>
    </row>
    <row r="34" spans="1:56" ht="39" customHeight="1" x14ac:dyDescent="0.25">
      <c r="A34" s="7" t="s">
        <v>58</v>
      </c>
      <c r="B34" s="2" t="s">
        <v>512</v>
      </c>
      <c r="C34" s="2" t="s">
        <v>513</v>
      </c>
      <c r="D34" s="2" t="s">
        <v>514</v>
      </c>
      <c r="F34" s="3" t="s">
        <v>58</v>
      </c>
      <c r="G34" s="3" t="s">
        <v>59</v>
      </c>
      <c r="H34" s="3" t="s">
        <v>58</v>
      </c>
      <c r="I34" s="3" t="s">
        <v>58</v>
      </c>
      <c r="J34" s="3" t="s">
        <v>60</v>
      </c>
      <c r="K34" s="2" t="s">
        <v>515</v>
      </c>
      <c r="L34" s="2" t="s">
        <v>516</v>
      </c>
      <c r="M34" s="3" t="s">
        <v>185</v>
      </c>
      <c r="O34" s="3" t="s">
        <v>65</v>
      </c>
      <c r="P34" s="3" t="s">
        <v>113</v>
      </c>
      <c r="Q34" s="2" t="s">
        <v>517</v>
      </c>
      <c r="R34" s="3" t="s">
        <v>68</v>
      </c>
      <c r="S34" s="4">
        <v>3</v>
      </c>
      <c r="T34" s="4">
        <v>3</v>
      </c>
      <c r="U34" s="5" t="s">
        <v>518</v>
      </c>
      <c r="V34" s="5" t="s">
        <v>518</v>
      </c>
      <c r="W34" s="5" t="s">
        <v>519</v>
      </c>
      <c r="X34" s="5" t="s">
        <v>519</v>
      </c>
      <c r="Y34" s="4">
        <v>84</v>
      </c>
      <c r="Z34" s="4">
        <v>80</v>
      </c>
      <c r="AA34" s="4">
        <v>80</v>
      </c>
      <c r="AB34" s="4">
        <v>1</v>
      </c>
      <c r="AC34" s="4">
        <v>1</v>
      </c>
      <c r="AD34" s="4">
        <v>11</v>
      </c>
      <c r="AE34" s="4">
        <v>11</v>
      </c>
      <c r="AF34" s="4">
        <v>3</v>
      </c>
      <c r="AG34" s="4">
        <v>3</v>
      </c>
      <c r="AH34" s="4">
        <v>3</v>
      </c>
      <c r="AI34" s="4">
        <v>3</v>
      </c>
      <c r="AJ34" s="4">
        <v>8</v>
      </c>
      <c r="AK34" s="4">
        <v>8</v>
      </c>
      <c r="AL34" s="4">
        <v>0</v>
      </c>
      <c r="AM34" s="4">
        <v>0</v>
      </c>
      <c r="AN34" s="4">
        <v>0</v>
      </c>
      <c r="AO34" s="4">
        <v>0</v>
      </c>
      <c r="AP34" s="3" t="s">
        <v>58</v>
      </c>
      <c r="AQ34" s="3" t="s">
        <v>58</v>
      </c>
      <c r="AS34" s="6" t="str">
        <f>HYPERLINK("https://creighton-primo.hosted.exlibrisgroup.com/primo-explore/search?tab=default_tab&amp;search_scope=EVERYTHING&amp;vid=01CRU&amp;lang=en_US&amp;offset=0&amp;query=any,contains,991003196279702656","Catalog Record")</f>
        <v>Catalog Record</v>
      </c>
      <c r="AT34" s="6" t="str">
        <f>HYPERLINK("http://www.worldcat.org/oclc/44070556","WorldCat Record")</f>
        <v>WorldCat Record</v>
      </c>
      <c r="AU34" s="3" t="s">
        <v>520</v>
      </c>
      <c r="AV34" s="3" t="s">
        <v>521</v>
      </c>
      <c r="AW34" s="3" t="s">
        <v>522</v>
      </c>
      <c r="AX34" s="3" t="s">
        <v>522</v>
      </c>
      <c r="AY34" s="3" t="s">
        <v>523</v>
      </c>
      <c r="AZ34" s="3" t="s">
        <v>75</v>
      </c>
      <c r="BB34" s="3" t="s">
        <v>524</v>
      </c>
      <c r="BC34" s="3" t="s">
        <v>525</v>
      </c>
      <c r="BD34" s="3" t="s">
        <v>526</v>
      </c>
    </row>
    <row r="35" spans="1:56" ht="39" customHeight="1" x14ac:dyDescent="0.25">
      <c r="A35" s="7" t="s">
        <v>58</v>
      </c>
      <c r="B35" s="2" t="s">
        <v>527</v>
      </c>
      <c r="C35" s="2" t="s">
        <v>528</v>
      </c>
      <c r="D35" s="2" t="s">
        <v>529</v>
      </c>
      <c r="F35" s="3" t="s">
        <v>58</v>
      </c>
      <c r="G35" s="3" t="s">
        <v>59</v>
      </c>
      <c r="H35" s="3" t="s">
        <v>58</v>
      </c>
      <c r="I35" s="3" t="s">
        <v>58</v>
      </c>
      <c r="J35" s="3" t="s">
        <v>60</v>
      </c>
      <c r="L35" s="2" t="s">
        <v>530</v>
      </c>
      <c r="M35" s="3" t="s">
        <v>462</v>
      </c>
      <c r="O35" s="3" t="s">
        <v>65</v>
      </c>
      <c r="P35" s="3" t="s">
        <v>346</v>
      </c>
      <c r="R35" s="3" t="s">
        <v>68</v>
      </c>
      <c r="S35" s="4">
        <v>3</v>
      </c>
      <c r="T35" s="4">
        <v>3</v>
      </c>
      <c r="U35" s="5" t="s">
        <v>531</v>
      </c>
      <c r="V35" s="5" t="s">
        <v>531</v>
      </c>
      <c r="W35" s="5" t="s">
        <v>348</v>
      </c>
      <c r="X35" s="5" t="s">
        <v>348</v>
      </c>
      <c r="Y35" s="4">
        <v>316</v>
      </c>
      <c r="Z35" s="4">
        <v>265</v>
      </c>
      <c r="AA35" s="4">
        <v>270</v>
      </c>
      <c r="AB35" s="4">
        <v>3</v>
      </c>
      <c r="AC35" s="4">
        <v>3</v>
      </c>
      <c r="AD35" s="4">
        <v>15</v>
      </c>
      <c r="AE35" s="4">
        <v>15</v>
      </c>
      <c r="AF35" s="4">
        <v>4</v>
      </c>
      <c r="AG35" s="4">
        <v>4</v>
      </c>
      <c r="AH35" s="4">
        <v>3</v>
      </c>
      <c r="AI35" s="4">
        <v>3</v>
      </c>
      <c r="AJ35" s="4">
        <v>7</v>
      </c>
      <c r="AK35" s="4">
        <v>7</v>
      </c>
      <c r="AL35" s="4">
        <v>2</v>
      </c>
      <c r="AM35" s="4">
        <v>2</v>
      </c>
      <c r="AN35" s="4">
        <v>0</v>
      </c>
      <c r="AO35" s="4">
        <v>0</v>
      </c>
      <c r="AP35" s="3" t="s">
        <v>58</v>
      </c>
      <c r="AQ35" s="3" t="s">
        <v>58</v>
      </c>
      <c r="AS35" s="6" t="str">
        <f>HYPERLINK("https://creighton-primo.hosted.exlibrisgroup.com/primo-explore/search?tab=default_tab&amp;search_scope=EVERYTHING&amp;vid=01CRU&amp;lang=en_US&amp;offset=0&amp;query=any,contains,991000316859702656","Catalog Record")</f>
        <v>Catalog Record</v>
      </c>
      <c r="AT35" s="6" t="str">
        <f>HYPERLINK("http://www.worldcat.org/oclc/10123344","WorldCat Record")</f>
        <v>WorldCat Record</v>
      </c>
      <c r="AU35" s="3" t="s">
        <v>532</v>
      </c>
      <c r="AV35" s="3" t="s">
        <v>533</v>
      </c>
      <c r="AW35" s="3" t="s">
        <v>534</v>
      </c>
      <c r="AX35" s="3" t="s">
        <v>534</v>
      </c>
      <c r="AY35" s="3" t="s">
        <v>535</v>
      </c>
      <c r="AZ35" s="3" t="s">
        <v>75</v>
      </c>
      <c r="BB35" s="3" t="s">
        <v>536</v>
      </c>
      <c r="BC35" s="3" t="s">
        <v>537</v>
      </c>
      <c r="BD35" s="3" t="s">
        <v>538</v>
      </c>
    </row>
    <row r="36" spans="1:56" ht="39" customHeight="1" x14ac:dyDescent="0.25">
      <c r="A36" s="7" t="s">
        <v>58</v>
      </c>
      <c r="B36" s="2" t="s">
        <v>539</v>
      </c>
      <c r="C36" s="2" t="s">
        <v>540</v>
      </c>
      <c r="D36" s="2" t="s">
        <v>541</v>
      </c>
      <c r="F36" s="3" t="s">
        <v>58</v>
      </c>
      <c r="G36" s="3" t="s">
        <v>59</v>
      </c>
      <c r="H36" s="3" t="s">
        <v>58</v>
      </c>
      <c r="I36" s="3" t="s">
        <v>58</v>
      </c>
      <c r="J36" s="3" t="s">
        <v>60</v>
      </c>
      <c r="K36" s="2" t="s">
        <v>542</v>
      </c>
      <c r="L36" s="2" t="s">
        <v>543</v>
      </c>
      <c r="M36" s="3" t="s">
        <v>544</v>
      </c>
      <c r="O36" s="3" t="s">
        <v>65</v>
      </c>
      <c r="P36" s="3" t="s">
        <v>113</v>
      </c>
      <c r="R36" s="3" t="s">
        <v>68</v>
      </c>
      <c r="S36" s="4">
        <v>2</v>
      </c>
      <c r="T36" s="4">
        <v>2</v>
      </c>
      <c r="U36" s="5" t="s">
        <v>545</v>
      </c>
      <c r="V36" s="5" t="s">
        <v>545</v>
      </c>
      <c r="W36" s="5" t="s">
        <v>546</v>
      </c>
      <c r="X36" s="5" t="s">
        <v>546</v>
      </c>
      <c r="Y36" s="4">
        <v>30</v>
      </c>
      <c r="Z36" s="4">
        <v>25</v>
      </c>
      <c r="AA36" s="4">
        <v>27</v>
      </c>
      <c r="AB36" s="4">
        <v>1</v>
      </c>
      <c r="AC36" s="4">
        <v>1</v>
      </c>
      <c r="AD36" s="4">
        <v>6</v>
      </c>
      <c r="AE36" s="4">
        <v>6</v>
      </c>
      <c r="AF36" s="4">
        <v>2</v>
      </c>
      <c r="AG36" s="4">
        <v>2</v>
      </c>
      <c r="AH36" s="4">
        <v>1</v>
      </c>
      <c r="AI36" s="4">
        <v>1</v>
      </c>
      <c r="AJ36" s="4">
        <v>4</v>
      </c>
      <c r="AK36" s="4">
        <v>4</v>
      </c>
      <c r="AL36" s="4">
        <v>0</v>
      </c>
      <c r="AM36" s="4">
        <v>0</v>
      </c>
      <c r="AN36" s="4">
        <v>0</v>
      </c>
      <c r="AO36" s="4">
        <v>0</v>
      </c>
      <c r="AP36" s="3" t="s">
        <v>58</v>
      </c>
      <c r="AQ36" s="3" t="s">
        <v>58</v>
      </c>
      <c r="AS36" s="6" t="str">
        <f>HYPERLINK("https://creighton-primo.hosted.exlibrisgroup.com/primo-explore/search?tab=default_tab&amp;search_scope=EVERYTHING&amp;vid=01CRU&amp;lang=en_US&amp;offset=0&amp;query=any,contains,991003037589702656","Catalog Record")</f>
        <v>Catalog Record</v>
      </c>
      <c r="AT36" s="6" t="str">
        <f>HYPERLINK("http://www.worldcat.org/oclc/41916096","WorldCat Record")</f>
        <v>WorldCat Record</v>
      </c>
      <c r="AU36" s="3" t="s">
        <v>547</v>
      </c>
      <c r="AV36" s="3" t="s">
        <v>548</v>
      </c>
      <c r="AW36" s="3" t="s">
        <v>549</v>
      </c>
      <c r="AX36" s="3" t="s">
        <v>549</v>
      </c>
      <c r="AY36" s="3" t="s">
        <v>550</v>
      </c>
      <c r="AZ36" s="3" t="s">
        <v>75</v>
      </c>
      <c r="BB36" s="3" t="s">
        <v>551</v>
      </c>
      <c r="BC36" s="3" t="s">
        <v>552</v>
      </c>
      <c r="BD36" s="3" t="s">
        <v>553</v>
      </c>
    </row>
    <row r="37" spans="1:56" ht="39" customHeight="1" x14ac:dyDescent="0.25">
      <c r="A37" s="7" t="s">
        <v>58</v>
      </c>
      <c r="B37" s="2" t="s">
        <v>554</v>
      </c>
      <c r="C37" s="2" t="s">
        <v>555</v>
      </c>
      <c r="D37" s="2" t="s">
        <v>556</v>
      </c>
      <c r="F37" s="3" t="s">
        <v>58</v>
      </c>
      <c r="G37" s="3" t="s">
        <v>59</v>
      </c>
      <c r="H37" s="3" t="s">
        <v>58</v>
      </c>
      <c r="I37" s="3" t="s">
        <v>58</v>
      </c>
      <c r="J37" s="3" t="s">
        <v>60</v>
      </c>
      <c r="L37" s="2" t="s">
        <v>557</v>
      </c>
      <c r="M37" s="3" t="s">
        <v>185</v>
      </c>
      <c r="O37" s="3" t="s">
        <v>65</v>
      </c>
      <c r="P37" s="3" t="s">
        <v>274</v>
      </c>
      <c r="R37" s="3" t="s">
        <v>68</v>
      </c>
      <c r="S37" s="4">
        <v>6</v>
      </c>
      <c r="T37" s="4">
        <v>6</v>
      </c>
      <c r="U37" s="5" t="s">
        <v>558</v>
      </c>
      <c r="V37" s="5" t="s">
        <v>558</v>
      </c>
      <c r="W37" s="5" t="s">
        <v>519</v>
      </c>
      <c r="X37" s="5" t="s">
        <v>519</v>
      </c>
      <c r="Y37" s="4">
        <v>247</v>
      </c>
      <c r="Z37" s="4">
        <v>218</v>
      </c>
      <c r="AA37" s="4">
        <v>223</v>
      </c>
      <c r="AB37" s="4">
        <v>4</v>
      </c>
      <c r="AC37" s="4">
        <v>4</v>
      </c>
      <c r="AD37" s="4">
        <v>22</v>
      </c>
      <c r="AE37" s="4">
        <v>22</v>
      </c>
      <c r="AF37" s="4">
        <v>9</v>
      </c>
      <c r="AG37" s="4">
        <v>9</v>
      </c>
      <c r="AH37" s="4">
        <v>4</v>
      </c>
      <c r="AI37" s="4">
        <v>4</v>
      </c>
      <c r="AJ37" s="4">
        <v>11</v>
      </c>
      <c r="AK37" s="4">
        <v>11</v>
      </c>
      <c r="AL37" s="4">
        <v>3</v>
      </c>
      <c r="AM37" s="4">
        <v>3</v>
      </c>
      <c r="AN37" s="4">
        <v>0</v>
      </c>
      <c r="AO37" s="4">
        <v>0</v>
      </c>
      <c r="AP37" s="3" t="s">
        <v>58</v>
      </c>
      <c r="AQ37" s="3" t="s">
        <v>58</v>
      </c>
      <c r="AS37" s="6" t="str">
        <f>HYPERLINK("https://creighton-primo.hosted.exlibrisgroup.com/primo-explore/search?tab=default_tab&amp;search_scope=EVERYTHING&amp;vid=01CRU&amp;lang=en_US&amp;offset=0&amp;query=any,contains,991003195909702656","Catalog Record")</f>
        <v>Catalog Record</v>
      </c>
      <c r="AT37" s="6" t="str">
        <f>HYPERLINK("http://www.worldcat.org/oclc/43607316","WorldCat Record")</f>
        <v>WorldCat Record</v>
      </c>
      <c r="AU37" s="3" t="s">
        <v>559</v>
      </c>
      <c r="AV37" s="3" t="s">
        <v>560</v>
      </c>
      <c r="AW37" s="3" t="s">
        <v>561</v>
      </c>
      <c r="AX37" s="3" t="s">
        <v>561</v>
      </c>
      <c r="AY37" s="3" t="s">
        <v>562</v>
      </c>
      <c r="AZ37" s="3" t="s">
        <v>75</v>
      </c>
      <c r="BB37" s="3" t="s">
        <v>563</v>
      </c>
      <c r="BC37" s="3" t="s">
        <v>564</v>
      </c>
      <c r="BD37" s="3" t="s">
        <v>565</v>
      </c>
    </row>
    <row r="38" spans="1:56" ht="39" customHeight="1" x14ac:dyDescent="0.25">
      <c r="A38" s="7" t="s">
        <v>58</v>
      </c>
      <c r="B38" s="2" t="s">
        <v>566</v>
      </c>
      <c r="C38" s="2" t="s">
        <v>567</v>
      </c>
      <c r="D38" s="2" t="s">
        <v>568</v>
      </c>
      <c r="F38" s="3" t="s">
        <v>58</v>
      </c>
      <c r="G38" s="3" t="s">
        <v>59</v>
      </c>
      <c r="H38" s="3" t="s">
        <v>58</v>
      </c>
      <c r="I38" s="3" t="s">
        <v>58</v>
      </c>
      <c r="J38" s="3" t="s">
        <v>60</v>
      </c>
      <c r="K38" s="2" t="s">
        <v>569</v>
      </c>
      <c r="L38" s="2" t="s">
        <v>570</v>
      </c>
      <c r="M38" s="3" t="s">
        <v>389</v>
      </c>
      <c r="O38" s="3" t="s">
        <v>65</v>
      </c>
      <c r="P38" s="3" t="s">
        <v>571</v>
      </c>
      <c r="R38" s="3" t="s">
        <v>68</v>
      </c>
      <c r="S38" s="4">
        <v>1</v>
      </c>
      <c r="T38" s="4">
        <v>1</v>
      </c>
      <c r="U38" s="5" t="s">
        <v>531</v>
      </c>
      <c r="V38" s="5" t="s">
        <v>531</v>
      </c>
      <c r="W38" s="5" t="s">
        <v>391</v>
      </c>
      <c r="X38" s="5" t="s">
        <v>391</v>
      </c>
      <c r="Y38" s="4">
        <v>269</v>
      </c>
      <c r="Z38" s="4">
        <v>237</v>
      </c>
      <c r="AA38" s="4">
        <v>237</v>
      </c>
      <c r="AB38" s="4">
        <v>3</v>
      </c>
      <c r="AC38" s="4">
        <v>3</v>
      </c>
      <c r="AD38" s="4">
        <v>13</v>
      </c>
      <c r="AE38" s="4">
        <v>13</v>
      </c>
      <c r="AF38" s="4">
        <v>6</v>
      </c>
      <c r="AG38" s="4">
        <v>6</v>
      </c>
      <c r="AH38" s="4">
        <v>1</v>
      </c>
      <c r="AI38" s="4">
        <v>1</v>
      </c>
      <c r="AJ38" s="4">
        <v>5</v>
      </c>
      <c r="AK38" s="4">
        <v>5</v>
      </c>
      <c r="AL38" s="4">
        <v>2</v>
      </c>
      <c r="AM38" s="4">
        <v>2</v>
      </c>
      <c r="AN38" s="4">
        <v>0</v>
      </c>
      <c r="AO38" s="4">
        <v>0</v>
      </c>
      <c r="AP38" s="3" t="s">
        <v>58</v>
      </c>
      <c r="AQ38" s="3" t="s">
        <v>58</v>
      </c>
      <c r="AS38" s="6" t="str">
        <f>HYPERLINK("https://creighton-primo.hosted.exlibrisgroup.com/primo-explore/search?tab=default_tab&amp;search_scope=EVERYTHING&amp;vid=01CRU&amp;lang=en_US&amp;offset=0&amp;query=any,contains,991002645999702656","Catalog Record")</f>
        <v>Catalog Record</v>
      </c>
      <c r="AT38" s="6" t="str">
        <f>HYPERLINK("http://www.worldcat.org/oclc/385826","WorldCat Record")</f>
        <v>WorldCat Record</v>
      </c>
      <c r="AU38" s="3" t="s">
        <v>572</v>
      </c>
      <c r="AV38" s="3" t="s">
        <v>573</v>
      </c>
      <c r="AW38" s="3" t="s">
        <v>574</v>
      </c>
      <c r="AX38" s="3" t="s">
        <v>574</v>
      </c>
      <c r="AY38" s="3" t="s">
        <v>575</v>
      </c>
      <c r="AZ38" s="3" t="s">
        <v>75</v>
      </c>
      <c r="BC38" s="3" t="s">
        <v>576</v>
      </c>
      <c r="BD38" s="3" t="s">
        <v>577</v>
      </c>
    </row>
    <row r="39" spans="1:56" ht="39" customHeight="1" x14ac:dyDescent="0.25">
      <c r="A39" s="7" t="s">
        <v>58</v>
      </c>
      <c r="B39" s="2" t="s">
        <v>578</v>
      </c>
      <c r="C39" s="2" t="s">
        <v>579</v>
      </c>
      <c r="D39" s="2" t="s">
        <v>580</v>
      </c>
      <c r="F39" s="3" t="s">
        <v>58</v>
      </c>
      <c r="G39" s="3" t="s">
        <v>59</v>
      </c>
      <c r="H39" s="3" t="s">
        <v>58</v>
      </c>
      <c r="I39" s="3" t="s">
        <v>132</v>
      </c>
      <c r="J39" s="3" t="s">
        <v>60</v>
      </c>
      <c r="K39" s="2" t="s">
        <v>581</v>
      </c>
      <c r="L39" s="2" t="s">
        <v>582</v>
      </c>
      <c r="M39" s="3" t="s">
        <v>439</v>
      </c>
      <c r="N39" s="2" t="s">
        <v>476</v>
      </c>
      <c r="O39" s="3" t="s">
        <v>65</v>
      </c>
      <c r="P39" s="3" t="s">
        <v>477</v>
      </c>
      <c r="R39" s="3" t="s">
        <v>68</v>
      </c>
      <c r="S39" s="4">
        <v>6</v>
      </c>
      <c r="T39" s="4">
        <v>6</v>
      </c>
      <c r="U39" s="5" t="s">
        <v>259</v>
      </c>
      <c r="V39" s="5" t="s">
        <v>259</v>
      </c>
      <c r="W39" s="5" t="s">
        <v>391</v>
      </c>
      <c r="X39" s="5" t="s">
        <v>391</v>
      </c>
      <c r="Y39" s="4">
        <v>525</v>
      </c>
      <c r="Z39" s="4">
        <v>419</v>
      </c>
      <c r="AA39" s="4">
        <v>569</v>
      </c>
      <c r="AB39" s="4">
        <v>6</v>
      </c>
      <c r="AC39" s="4">
        <v>7</v>
      </c>
      <c r="AD39" s="4">
        <v>31</v>
      </c>
      <c r="AE39" s="4">
        <v>40</v>
      </c>
      <c r="AF39" s="4">
        <v>13</v>
      </c>
      <c r="AG39" s="4">
        <v>17</v>
      </c>
      <c r="AH39" s="4">
        <v>6</v>
      </c>
      <c r="AI39" s="4">
        <v>8</v>
      </c>
      <c r="AJ39" s="4">
        <v>20</v>
      </c>
      <c r="AK39" s="4">
        <v>23</v>
      </c>
      <c r="AL39" s="4">
        <v>4</v>
      </c>
      <c r="AM39" s="4">
        <v>5</v>
      </c>
      <c r="AN39" s="4">
        <v>0</v>
      </c>
      <c r="AO39" s="4">
        <v>0</v>
      </c>
      <c r="AP39" s="3" t="s">
        <v>58</v>
      </c>
      <c r="AQ39" s="3" t="s">
        <v>58</v>
      </c>
      <c r="AS39" s="6" t="str">
        <f>HYPERLINK("https://creighton-primo.hosted.exlibrisgroup.com/primo-explore/search?tab=default_tab&amp;search_scope=EVERYTHING&amp;vid=01CRU&amp;lang=en_US&amp;offset=0&amp;query=any,contains,991004957039702656","Catalog Record")</f>
        <v>Catalog Record</v>
      </c>
      <c r="AT39" s="6" t="str">
        <f>HYPERLINK("http://www.worldcat.org/oclc/6280604","WorldCat Record")</f>
        <v>WorldCat Record</v>
      </c>
      <c r="AU39" s="3" t="s">
        <v>583</v>
      </c>
      <c r="AV39" s="3" t="s">
        <v>584</v>
      </c>
      <c r="AW39" s="3" t="s">
        <v>585</v>
      </c>
      <c r="AX39" s="3" t="s">
        <v>585</v>
      </c>
      <c r="AY39" s="3" t="s">
        <v>586</v>
      </c>
      <c r="AZ39" s="3" t="s">
        <v>75</v>
      </c>
      <c r="BB39" s="3" t="s">
        <v>587</v>
      </c>
      <c r="BC39" s="3" t="s">
        <v>588</v>
      </c>
      <c r="BD39" s="3" t="s">
        <v>589</v>
      </c>
    </row>
    <row r="40" spans="1:56" ht="39" customHeight="1" x14ac:dyDescent="0.25">
      <c r="A40" s="7" t="s">
        <v>58</v>
      </c>
      <c r="B40" s="2" t="s">
        <v>590</v>
      </c>
      <c r="C40" s="2" t="s">
        <v>591</v>
      </c>
      <c r="D40" s="2" t="s">
        <v>592</v>
      </c>
      <c r="F40" s="3" t="s">
        <v>58</v>
      </c>
      <c r="G40" s="3" t="s">
        <v>59</v>
      </c>
      <c r="H40" s="3" t="s">
        <v>58</v>
      </c>
      <c r="I40" s="3" t="s">
        <v>58</v>
      </c>
      <c r="J40" s="3" t="s">
        <v>60</v>
      </c>
      <c r="K40" s="2" t="s">
        <v>593</v>
      </c>
      <c r="L40" s="2" t="s">
        <v>594</v>
      </c>
      <c r="M40" s="3" t="s">
        <v>172</v>
      </c>
      <c r="O40" s="3" t="s">
        <v>65</v>
      </c>
      <c r="P40" s="3" t="s">
        <v>186</v>
      </c>
      <c r="R40" s="3" t="s">
        <v>68</v>
      </c>
      <c r="S40" s="4">
        <v>1</v>
      </c>
      <c r="T40" s="4">
        <v>1</v>
      </c>
      <c r="U40" s="5" t="s">
        <v>259</v>
      </c>
      <c r="V40" s="5" t="s">
        <v>259</v>
      </c>
      <c r="W40" s="5" t="s">
        <v>391</v>
      </c>
      <c r="X40" s="5" t="s">
        <v>391</v>
      </c>
      <c r="Y40" s="4">
        <v>204</v>
      </c>
      <c r="Z40" s="4">
        <v>174</v>
      </c>
      <c r="AA40" s="4">
        <v>180</v>
      </c>
      <c r="AB40" s="4">
        <v>3</v>
      </c>
      <c r="AC40" s="4">
        <v>3</v>
      </c>
      <c r="AD40" s="4">
        <v>22</v>
      </c>
      <c r="AE40" s="4">
        <v>22</v>
      </c>
      <c r="AF40" s="4">
        <v>7</v>
      </c>
      <c r="AG40" s="4">
        <v>7</v>
      </c>
      <c r="AH40" s="4">
        <v>5</v>
      </c>
      <c r="AI40" s="4">
        <v>5</v>
      </c>
      <c r="AJ40" s="4">
        <v>17</v>
      </c>
      <c r="AK40" s="4">
        <v>17</v>
      </c>
      <c r="AL40" s="4">
        <v>2</v>
      </c>
      <c r="AM40" s="4">
        <v>2</v>
      </c>
      <c r="AN40" s="4">
        <v>0</v>
      </c>
      <c r="AO40" s="4">
        <v>0</v>
      </c>
      <c r="AP40" s="3" t="s">
        <v>58</v>
      </c>
      <c r="AQ40" s="3" t="s">
        <v>132</v>
      </c>
      <c r="AR40" s="6" t="str">
        <f>HYPERLINK("http://catalog.hathitrust.org/Record/001413641","HathiTrust Record")</f>
        <v>HathiTrust Record</v>
      </c>
      <c r="AS40" s="6" t="str">
        <f>HYPERLINK("https://creighton-primo.hosted.exlibrisgroup.com/primo-explore/search?tab=default_tab&amp;search_scope=EVERYTHING&amp;vid=01CRU&amp;lang=en_US&amp;offset=0&amp;query=any,contains,991000812719702656","Catalog Record")</f>
        <v>Catalog Record</v>
      </c>
      <c r="AT40" s="6" t="str">
        <f>HYPERLINK("http://www.worldcat.org/oclc/141102","WorldCat Record")</f>
        <v>WorldCat Record</v>
      </c>
      <c r="AU40" s="3" t="s">
        <v>595</v>
      </c>
      <c r="AV40" s="3" t="s">
        <v>596</v>
      </c>
      <c r="AW40" s="3" t="s">
        <v>597</v>
      </c>
      <c r="AX40" s="3" t="s">
        <v>597</v>
      </c>
      <c r="AY40" s="3" t="s">
        <v>598</v>
      </c>
      <c r="AZ40" s="3" t="s">
        <v>75</v>
      </c>
      <c r="BC40" s="3" t="s">
        <v>599</v>
      </c>
      <c r="BD40" s="3" t="s">
        <v>600</v>
      </c>
    </row>
    <row r="41" spans="1:56" ht="39" customHeight="1" x14ac:dyDescent="0.25">
      <c r="A41" s="7" t="s">
        <v>58</v>
      </c>
      <c r="B41" s="2" t="s">
        <v>601</v>
      </c>
      <c r="C41" s="2" t="s">
        <v>602</v>
      </c>
      <c r="D41" s="2" t="s">
        <v>603</v>
      </c>
      <c r="F41" s="3" t="s">
        <v>58</v>
      </c>
      <c r="G41" s="3" t="s">
        <v>59</v>
      </c>
      <c r="H41" s="3" t="s">
        <v>58</v>
      </c>
      <c r="I41" s="3" t="s">
        <v>58</v>
      </c>
      <c r="J41" s="3" t="s">
        <v>60</v>
      </c>
      <c r="K41" s="2" t="s">
        <v>604</v>
      </c>
      <c r="L41" s="2" t="s">
        <v>605</v>
      </c>
      <c r="M41" s="3" t="s">
        <v>128</v>
      </c>
      <c r="O41" s="3" t="s">
        <v>65</v>
      </c>
      <c r="P41" s="3" t="s">
        <v>304</v>
      </c>
      <c r="R41" s="3" t="s">
        <v>68</v>
      </c>
      <c r="S41" s="4">
        <v>2</v>
      </c>
      <c r="T41" s="4">
        <v>2</v>
      </c>
      <c r="U41" s="5" t="s">
        <v>606</v>
      </c>
      <c r="V41" s="5" t="s">
        <v>606</v>
      </c>
      <c r="W41" s="5" t="s">
        <v>607</v>
      </c>
      <c r="X41" s="5" t="s">
        <v>607</v>
      </c>
      <c r="Y41" s="4">
        <v>343</v>
      </c>
      <c r="Z41" s="4">
        <v>279</v>
      </c>
      <c r="AA41" s="4">
        <v>279</v>
      </c>
      <c r="AB41" s="4">
        <v>2</v>
      </c>
      <c r="AC41" s="4">
        <v>2</v>
      </c>
      <c r="AD41" s="4">
        <v>21</v>
      </c>
      <c r="AE41" s="4">
        <v>21</v>
      </c>
      <c r="AF41" s="4">
        <v>8</v>
      </c>
      <c r="AG41" s="4">
        <v>8</v>
      </c>
      <c r="AH41" s="4">
        <v>5</v>
      </c>
      <c r="AI41" s="4">
        <v>5</v>
      </c>
      <c r="AJ41" s="4">
        <v>13</v>
      </c>
      <c r="AK41" s="4">
        <v>13</v>
      </c>
      <c r="AL41" s="4">
        <v>1</v>
      </c>
      <c r="AM41" s="4">
        <v>1</v>
      </c>
      <c r="AN41" s="4">
        <v>0</v>
      </c>
      <c r="AO41" s="4">
        <v>0</v>
      </c>
      <c r="AP41" s="3" t="s">
        <v>58</v>
      </c>
      <c r="AQ41" s="3" t="s">
        <v>58</v>
      </c>
      <c r="AS41" s="6" t="str">
        <f>HYPERLINK("https://creighton-primo.hosted.exlibrisgroup.com/primo-explore/search?tab=default_tab&amp;search_scope=EVERYTHING&amp;vid=01CRU&amp;lang=en_US&amp;offset=0&amp;query=any,contains,991004259079702656","Catalog Record")</f>
        <v>Catalog Record</v>
      </c>
      <c r="AT41" s="6" t="str">
        <f>HYPERLINK("http://www.worldcat.org/oclc/2836976","WorldCat Record")</f>
        <v>WorldCat Record</v>
      </c>
      <c r="AU41" s="3" t="s">
        <v>608</v>
      </c>
      <c r="AV41" s="3" t="s">
        <v>609</v>
      </c>
      <c r="AW41" s="3" t="s">
        <v>610</v>
      </c>
      <c r="AX41" s="3" t="s">
        <v>610</v>
      </c>
      <c r="AY41" s="3" t="s">
        <v>611</v>
      </c>
      <c r="AZ41" s="3" t="s">
        <v>75</v>
      </c>
      <c r="BB41" s="3" t="s">
        <v>612</v>
      </c>
      <c r="BC41" s="3" t="s">
        <v>613</v>
      </c>
      <c r="BD41" s="3" t="s">
        <v>614</v>
      </c>
    </row>
    <row r="42" spans="1:56" ht="39" customHeight="1" x14ac:dyDescent="0.25">
      <c r="A42" s="7" t="s">
        <v>58</v>
      </c>
      <c r="B42" s="2" t="s">
        <v>615</v>
      </c>
      <c r="C42" s="2" t="s">
        <v>616</v>
      </c>
      <c r="D42" s="2" t="s">
        <v>617</v>
      </c>
      <c r="F42" s="3" t="s">
        <v>58</v>
      </c>
      <c r="G42" s="3" t="s">
        <v>59</v>
      </c>
      <c r="H42" s="3" t="s">
        <v>58</v>
      </c>
      <c r="I42" s="3" t="s">
        <v>58</v>
      </c>
      <c r="J42" s="3" t="s">
        <v>60</v>
      </c>
      <c r="K42" s="2" t="s">
        <v>618</v>
      </c>
      <c r="L42" s="2" t="s">
        <v>619</v>
      </c>
      <c r="M42" s="3" t="s">
        <v>462</v>
      </c>
      <c r="O42" s="3" t="s">
        <v>65</v>
      </c>
      <c r="P42" s="3" t="s">
        <v>274</v>
      </c>
      <c r="R42" s="3" t="s">
        <v>68</v>
      </c>
      <c r="S42" s="4">
        <v>4</v>
      </c>
      <c r="T42" s="4">
        <v>4</v>
      </c>
      <c r="U42" s="5" t="s">
        <v>493</v>
      </c>
      <c r="V42" s="5" t="s">
        <v>493</v>
      </c>
      <c r="W42" s="5" t="s">
        <v>391</v>
      </c>
      <c r="X42" s="5" t="s">
        <v>391</v>
      </c>
      <c r="Y42" s="4">
        <v>384</v>
      </c>
      <c r="Z42" s="4">
        <v>314</v>
      </c>
      <c r="AA42" s="4">
        <v>324</v>
      </c>
      <c r="AB42" s="4">
        <v>4</v>
      </c>
      <c r="AC42" s="4">
        <v>4</v>
      </c>
      <c r="AD42" s="4">
        <v>24</v>
      </c>
      <c r="AE42" s="4">
        <v>25</v>
      </c>
      <c r="AF42" s="4">
        <v>10</v>
      </c>
      <c r="AG42" s="4">
        <v>11</v>
      </c>
      <c r="AH42" s="4">
        <v>4</v>
      </c>
      <c r="AI42" s="4">
        <v>4</v>
      </c>
      <c r="AJ42" s="4">
        <v>14</v>
      </c>
      <c r="AK42" s="4">
        <v>14</v>
      </c>
      <c r="AL42" s="4">
        <v>2</v>
      </c>
      <c r="AM42" s="4">
        <v>2</v>
      </c>
      <c r="AN42" s="4">
        <v>0</v>
      </c>
      <c r="AO42" s="4">
        <v>0</v>
      </c>
      <c r="AP42" s="3" t="s">
        <v>58</v>
      </c>
      <c r="AQ42" s="3" t="s">
        <v>58</v>
      </c>
      <c r="AS42" s="6" t="str">
        <f>HYPERLINK("https://creighton-primo.hosted.exlibrisgroup.com/primo-explore/search?tab=default_tab&amp;search_scope=EVERYTHING&amp;vid=01CRU&amp;lang=en_US&amp;offset=0&amp;query=any,contains,991000509559702656","Catalog Record")</f>
        <v>Catalog Record</v>
      </c>
      <c r="AT42" s="6" t="str">
        <f>HYPERLINK("http://www.worldcat.org/oclc/11234574","WorldCat Record")</f>
        <v>WorldCat Record</v>
      </c>
      <c r="AU42" s="3" t="s">
        <v>620</v>
      </c>
      <c r="AV42" s="3" t="s">
        <v>621</v>
      </c>
      <c r="AW42" s="3" t="s">
        <v>622</v>
      </c>
      <c r="AX42" s="3" t="s">
        <v>622</v>
      </c>
      <c r="AY42" s="3" t="s">
        <v>623</v>
      </c>
      <c r="AZ42" s="3" t="s">
        <v>75</v>
      </c>
      <c r="BB42" s="3" t="s">
        <v>624</v>
      </c>
      <c r="BC42" s="3" t="s">
        <v>625</v>
      </c>
      <c r="BD42" s="3" t="s">
        <v>626</v>
      </c>
    </row>
    <row r="43" spans="1:56" ht="39" customHeight="1" x14ac:dyDescent="0.25">
      <c r="A43" s="7" t="s">
        <v>58</v>
      </c>
      <c r="B43" s="2" t="s">
        <v>627</v>
      </c>
      <c r="C43" s="2" t="s">
        <v>628</v>
      </c>
      <c r="D43" s="2" t="s">
        <v>629</v>
      </c>
      <c r="F43" s="3" t="s">
        <v>58</v>
      </c>
      <c r="G43" s="3" t="s">
        <v>59</v>
      </c>
      <c r="H43" s="3" t="s">
        <v>58</v>
      </c>
      <c r="I43" s="3" t="s">
        <v>58</v>
      </c>
      <c r="J43" s="3" t="s">
        <v>60</v>
      </c>
      <c r="K43" s="2" t="s">
        <v>618</v>
      </c>
      <c r="L43" s="2" t="s">
        <v>630</v>
      </c>
      <c r="M43" s="3" t="s">
        <v>631</v>
      </c>
      <c r="O43" s="3" t="s">
        <v>65</v>
      </c>
      <c r="P43" s="3" t="s">
        <v>304</v>
      </c>
      <c r="R43" s="3" t="s">
        <v>68</v>
      </c>
      <c r="S43" s="4">
        <v>1</v>
      </c>
      <c r="T43" s="4">
        <v>1</v>
      </c>
      <c r="U43" s="5" t="s">
        <v>493</v>
      </c>
      <c r="V43" s="5" t="s">
        <v>493</v>
      </c>
      <c r="W43" s="5" t="s">
        <v>391</v>
      </c>
      <c r="X43" s="5" t="s">
        <v>391</v>
      </c>
      <c r="Y43" s="4">
        <v>207</v>
      </c>
      <c r="Z43" s="4">
        <v>177</v>
      </c>
      <c r="AA43" s="4">
        <v>377</v>
      </c>
      <c r="AB43" s="4">
        <v>1</v>
      </c>
      <c r="AC43" s="4">
        <v>2</v>
      </c>
      <c r="AD43" s="4">
        <v>10</v>
      </c>
      <c r="AE43" s="4">
        <v>30</v>
      </c>
      <c r="AF43" s="4">
        <v>6</v>
      </c>
      <c r="AG43" s="4">
        <v>13</v>
      </c>
      <c r="AH43" s="4">
        <v>2</v>
      </c>
      <c r="AI43" s="4">
        <v>7</v>
      </c>
      <c r="AJ43" s="4">
        <v>5</v>
      </c>
      <c r="AK43" s="4">
        <v>19</v>
      </c>
      <c r="AL43" s="4">
        <v>0</v>
      </c>
      <c r="AM43" s="4">
        <v>1</v>
      </c>
      <c r="AN43" s="4">
        <v>0</v>
      </c>
      <c r="AO43" s="4">
        <v>0</v>
      </c>
      <c r="AP43" s="3" t="s">
        <v>58</v>
      </c>
      <c r="AQ43" s="3" t="s">
        <v>58</v>
      </c>
      <c r="AS43" s="6" t="str">
        <f>HYPERLINK("https://creighton-primo.hosted.exlibrisgroup.com/primo-explore/search?tab=default_tab&amp;search_scope=EVERYTHING&amp;vid=01CRU&amp;lang=en_US&amp;offset=0&amp;query=any,contains,991004036429702656","Catalog Record")</f>
        <v>Catalog Record</v>
      </c>
      <c r="AT43" s="6" t="str">
        <f>HYPERLINK("http://www.worldcat.org/oclc/2171961","WorldCat Record")</f>
        <v>WorldCat Record</v>
      </c>
      <c r="AU43" s="3" t="s">
        <v>632</v>
      </c>
      <c r="AV43" s="3" t="s">
        <v>633</v>
      </c>
      <c r="AW43" s="3" t="s">
        <v>634</v>
      </c>
      <c r="AX43" s="3" t="s">
        <v>634</v>
      </c>
      <c r="AY43" s="3" t="s">
        <v>635</v>
      </c>
      <c r="AZ43" s="3" t="s">
        <v>75</v>
      </c>
      <c r="BB43" s="3" t="s">
        <v>636</v>
      </c>
      <c r="BC43" s="3" t="s">
        <v>637</v>
      </c>
      <c r="BD43" s="3" t="s">
        <v>638</v>
      </c>
    </row>
    <row r="44" spans="1:56" ht="39" customHeight="1" x14ac:dyDescent="0.25">
      <c r="A44" s="7" t="s">
        <v>58</v>
      </c>
      <c r="B44" s="2" t="s">
        <v>639</v>
      </c>
      <c r="C44" s="2" t="s">
        <v>640</v>
      </c>
      <c r="D44" s="2" t="s">
        <v>641</v>
      </c>
      <c r="F44" s="3" t="s">
        <v>58</v>
      </c>
      <c r="G44" s="3" t="s">
        <v>59</v>
      </c>
      <c r="H44" s="3" t="s">
        <v>58</v>
      </c>
      <c r="I44" s="3" t="s">
        <v>58</v>
      </c>
      <c r="J44" s="3" t="s">
        <v>60</v>
      </c>
      <c r="K44" s="2" t="s">
        <v>618</v>
      </c>
      <c r="L44" s="2" t="s">
        <v>642</v>
      </c>
      <c r="M44" s="3" t="s">
        <v>172</v>
      </c>
      <c r="O44" s="3" t="s">
        <v>65</v>
      </c>
      <c r="P44" s="3" t="s">
        <v>304</v>
      </c>
      <c r="R44" s="3" t="s">
        <v>68</v>
      </c>
      <c r="S44" s="4">
        <v>1</v>
      </c>
      <c r="T44" s="4">
        <v>1</v>
      </c>
      <c r="U44" s="5" t="s">
        <v>493</v>
      </c>
      <c r="V44" s="5" t="s">
        <v>493</v>
      </c>
      <c r="W44" s="5" t="s">
        <v>391</v>
      </c>
      <c r="X44" s="5" t="s">
        <v>391</v>
      </c>
      <c r="Y44" s="4">
        <v>267</v>
      </c>
      <c r="Z44" s="4">
        <v>198</v>
      </c>
      <c r="AA44" s="4">
        <v>373</v>
      </c>
      <c r="AB44" s="4">
        <v>2</v>
      </c>
      <c r="AC44" s="4">
        <v>3</v>
      </c>
      <c r="AD44" s="4">
        <v>10</v>
      </c>
      <c r="AE44" s="4">
        <v>30</v>
      </c>
      <c r="AF44" s="4">
        <v>5</v>
      </c>
      <c r="AG44" s="4">
        <v>11</v>
      </c>
      <c r="AH44" s="4">
        <v>1</v>
      </c>
      <c r="AI44" s="4">
        <v>7</v>
      </c>
      <c r="AJ44" s="4">
        <v>5</v>
      </c>
      <c r="AK44" s="4">
        <v>18</v>
      </c>
      <c r="AL44" s="4">
        <v>0</v>
      </c>
      <c r="AM44" s="4">
        <v>1</v>
      </c>
      <c r="AN44" s="4">
        <v>0</v>
      </c>
      <c r="AO44" s="4">
        <v>0</v>
      </c>
      <c r="AP44" s="3" t="s">
        <v>58</v>
      </c>
      <c r="AQ44" s="3" t="s">
        <v>58</v>
      </c>
      <c r="AS44" s="6" t="str">
        <f>HYPERLINK("https://creighton-primo.hosted.exlibrisgroup.com/primo-explore/search?tab=default_tab&amp;search_scope=EVERYTHING&amp;vid=01CRU&amp;lang=en_US&amp;offset=0&amp;query=any,contains,991004039779702656","Catalog Record")</f>
        <v>Catalog Record</v>
      </c>
      <c r="AT44" s="6" t="str">
        <f>HYPERLINK("http://www.worldcat.org/oclc/2184797","WorldCat Record")</f>
        <v>WorldCat Record</v>
      </c>
      <c r="AU44" s="3" t="s">
        <v>643</v>
      </c>
      <c r="AV44" s="3" t="s">
        <v>644</v>
      </c>
      <c r="AW44" s="3" t="s">
        <v>645</v>
      </c>
      <c r="AX44" s="3" t="s">
        <v>645</v>
      </c>
      <c r="AY44" s="3" t="s">
        <v>646</v>
      </c>
      <c r="AZ44" s="3" t="s">
        <v>75</v>
      </c>
      <c r="BB44" s="3" t="s">
        <v>647</v>
      </c>
      <c r="BC44" s="3" t="s">
        <v>648</v>
      </c>
      <c r="BD44" s="3" t="s">
        <v>649</v>
      </c>
    </row>
    <row r="45" spans="1:56" ht="39" customHeight="1" x14ac:dyDescent="0.25">
      <c r="A45" s="7" t="s">
        <v>58</v>
      </c>
      <c r="B45" s="2" t="s">
        <v>650</v>
      </c>
      <c r="C45" s="2" t="s">
        <v>651</v>
      </c>
      <c r="D45" s="2" t="s">
        <v>652</v>
      </c>
      <c r="F45" s="3" t="s">
        <v>58</v>
      </c>
      <c r="G45" s="3" t="s">
        <v>59</v>
      </c>
      <c r="H45" s="3" t="s">
        <v>58</v>
      </c>
      <c r="I45" s="3" t="s">
        <v>58</v>
      </c>
      <c r="J45" s="3" t="s">
        <v>60</v>
      </c>
      <c r="K45" s="2" t="s">
        <v>653</v>
      </c>
      <c r="L45" s="2" t="s">
        <v>654</v>
      </c>
      <c r="M45" s="3" t="s">
        <v>655</v>
      </c>
      <c r="O45" s="3" t="s">
        <v>65</v>
      </c>
      <c r="P45" s="3" t="s">
        <v>304</v>
      </c>
      <c r="R45" s="3" t="s">
        <v>68</v>
      </c>
      <c r="S45" s="4">
        <v>3</v>
      </c>
      <c r="T45" s="4">
        <v>3</v>
      </c>
      <c r="U45" s="5" t="s">
        <v>656</v>
      </c>
      <c r="V45" s="5" t="s">
        <v>656</v>
      </c>
      <c r="W45" s="5" t="s">
        <v>657</v>
      </c>
      <c r="X45" s="5" t="s">
        <v>657</v>
      </c>
      <c r="Y45" s="4">
        <v>167</v>
      </c>
      <c r="Z45" s="4">
        <v>141</v>
      </c>
      <c r="AA45" s="4">
        <v>141</v>
      </c>
      <c r="AB45" s="4">
        <v>2</v>
      </c>
      <c r="AC45" s="4">
        <v>2</v>
      </c>
      <c r="AD45" s="4">
        <v>23</v>
      </c>
      <c r="AE45" s="4">
        <v>23</v>
      </c>
      <c r="AF45" s="4">
        <v>7</v>
      </c>
      <c r="AG45" s="4">
        <v>7</v>
      </c>
      <c r="AH45" s="4">
        <v>6</v>
      </c>
      <c r="AI45" s="4">
        <v>6</v>
      </c>
      <c r="AJ45" s="4">
        <v>19</v>
      </c>
      <c r="AK45" s="4">
        <v>19</v>
      </c>
      <c r="AL45" s="4">
        <v>0</v>
      </c>
      <c r="AM45" s="4">
        <v>0</v>
      </c>
      <c r="AN45" s="4">
        <v>0</v>
      </c>
      <c r="AO45" s="4">
        <v>0</v>
      </c>
      <c r="AP45" s="3" t="s">
        <v>58</v>
      </c>
      <c r="AQ45" s="3" t="s">
        <v>58</v>
      </c>
      <c r="AS45" s="6" t="str">
        <f>HYPERLINK("https://creighton-primo.hosted.exlibrisgroup.com/primo-explore/search?tab=default_tab&amp;search_scope=EVERYTHING&amp;vid=01CRU&amp;lang=en_US&amp;offset=0&amp;query=any,contains,991003055219702656","Catalog Record")</f>
        <v>Catalog Record</v>
      </c>
      <c r="AT45" s="6" t="str">
        <f>HYPERLINK("http://www.worldcat.org/oclc/613736","WorldCat Record")</f>
        <v>WorldCat Record</v>
      </c>
      <c r="AU45" s="3" t="s">
        <v>658</v>
      </c>
      <c r="AV45" s="3" t="s">
        <v>659</v>
      </c>
      <c r="AW45" s="3" t="s">
        <v>660</v>
      </c>
      <c r="AX45" s="3" t="s">
        <v>660</v>
      </c>
      <c r="AY45" s="3" t="s">
        <v>661</v>
      </c>
      <c r="AZ45" s="3" t="s">
        <v>75</v>
      </c>
      <c r="BB45" s="3" t="s">
        <v>662</v>
      </c>
      <c r="BC45" s="3" t="s">
        <v>663</v>
      </c>
      <c r="BD45" s="3" t="s">
        <v>664</v>
      </c>
    </row>
    <row r="46" spans="1:56" ht="39" customHeight="1" x14ac:dyDescent="0.25">
      <c r="A46" s="7" t="s">
        <v>58</v>
      </c>
      <c r="B46" s="2" t="s">
        <v>665</v>
      </c>
      <c r="C46" s="2" t="s">
        <v>666</v>
      </c>
      <c r="D46" s="2" t="s">
        <v>667</v>
      </c>
      <c r="F46" s="3" t="s">
        <v>58</v>
      </c>
      <c r="G46" s="3" t="s">
        <v>59</v>
      </c>
      <c r="H46" s="3" t="s">
        <v>58</v>
      </c>
      <c r="I46" s="3" t="s">
        <v>58</v>
      </c>
      <c r="J46" s="3" t="s">
        <v>60</v>
      </c>
      <c r="K46" s="2" t="s">
        <v>668</v>
      </c>
      <c r="L46" s="2" t="s">
        <v>669</v>
      </c>
      <c r="M46" s="3" t="s">
        <v>670</v>
      </c>
      <c r="O46" s="3" t="s">
        <v>65</v>
      </c>
      <c r="P46" s="3" t="s">
        <v>186</v>
      </c>
      <c r="R46" s="3" t="s">
        <v>68</v>
      </c>
      <c r="S46" s="4">
        <v>4</v>
      </c>
      <c r="T46" s="4">
        <v>4</v>
      </c>
      <c r="U46" s="5" t="s">
        <v>607</v>
      </c>
      <c r="V46" s="5" t="s">
        <v>607</v>
      </c>
      <c r="W46" s="5" t="s">
        <v>391</v>
      </c>
      <c r="X46" s="5" t="s">
        <v>391</v>
      </c>
      <c r="Y46" s="4">
        <v>285</v>
      </c>
      <c r="Z46" s="4">
        <v>245</v>
      </c>
      <c r="AA46" s="4">
        <v>254</v>
      </c>
      <c r="AB46" s="4">
        <v>4</v>
      </c>
      <c r="AC46" s="4">
        <v>4</v>
      </c>
      <c r="AD46" s="4">
        <v>27</v>
      </c>
      <c r="AE46" s="4">
        <v>27</v>
      </c>
      <c r="AF46" s="4">
        <v>8</v>
      </c>
      <c r="AG46" s="4">
        <v>8</v>
      </c>
      <c r="AH46" s="4">
        <v>7</v>
      </c>
      <c r="AI46" s="4">
        <v>7</v>
      </c>
      <c r="AJ46" s="4">
        <v>19</v>
      </c>
      <c r="AK46" s="4">
        <v>19</v>
      </c>
      <c r="AL46" s="4">
        <v>2</v>
      </c>
      <c r="AM46" s="4">
        <v>2</v>
      </c>
      <c r="AN46" s="4">
        <v>0</v>
      </c>
      <c r="AO46" s="4">
        <v>0</v>
      </c>
      <c r="AP46" s="3" t="s">
        <v>58</v>
      </c>
      <c r="AQ46" s="3" t="s">
        <v>132</v>
      </c>
      <c r="AR46" s="6" t="str">
        <f>HYPERLINK("http://catalog.hathitrust.org/Record/001413642","HathiTrust Record")</f>
        <v>HathiTrust Record</v>
      </c>
      <c r="AS46" s="6" t="str">
        <f>HYPERLINK("https://creighton-primo.hosted.exlibrisgroup.com/primo-explore/search?tab=default_tab&amp;search_scope=EVERYTHING&amp;vid=01CRU&amp;lang=en_US&amp;offset=0&amp;query=any,contains,991000657309702656","Catalog Record")</f>
        <v>Catalog Record</v>
      </c>
      <c r="AT46" s="6" t="str">
        <f>HYPERLINK("http://www.worldcat.org/oclc/116028","WorldCat Record")</f>
        <v>WorldCat Record</v>
      </c>
      <c r="AU46" s="3" t="s">
        <v>671</v>
      </c>
      <c r="AV46" s="3" t="s">
        <v>672</v>
      </c>
      <c r="AW46" s="3" t="s">
        <v>673</v>
      </c>
      <c r="AX46" s="3" t="s">
        <v>673</v>
      </c>
      <c r="AY46" s="3" t="s">
        <v>674</v>
      </c>
      <c r="AZ46" s="3" t="s">
        <v>75</v>
      </c>
      <c r="BC46" s="3" t="s">
        <v>675</v>
      </c>
      <c r="BD46" s="3" t="s">
        <v>676</v>
      </c>
    </row>
    <row r="47" spans="1:56" ht="39" customHeight="1" x14ac:dyDescent="0.25">
      <c r="A47" s="7" t="s">
        <v>58</v>
      </c>
      <c r="B47" s="2" t="s">
        <v>677</v>
      </c>
      <c r="C47" s="2" t="s">
        <v>678</v>
      </c>
      <c r="D47" s="2" t="s">
        <v>679</v>
      </c>
      <c r="F47" s="3" t="s">
        <v>58</v>
      </c>
      <c r="G47" s="3" t="s">
        <v>59</v>
      </c>
      <c r="H47" s="3" t="s">
        <v>58</v>
      </c>
      <c r="I47" s="3" t="s">
        <v>58</v>
      </c>
      <c r="J47" s="3" t="s">
        <v>60</v>
      </c>
      <c r="K47" s="2" t="s">
        <v>680</v>
      </c>
      <c r="L47" s="2" t="s">
        <v>681</v>
      </c>
      <c r="M47" s="3" t="s">
        <v>682</v>
      </c>
      <c r="O47" s="3" t="s">
        <v>65</v>
      </c>
      <c r="P47" s="3" t="s">
        <v>571</v>
      </c>
      <c r="R47" s="3" t="s">
        <v>68</v>
      </c>
      <c r="S47" s="4">
        <v>2</v>
      </c>
      <c r="T47" s="4">
        <v>2</v>
      </c>
      <c r="U47" s="5" t="s">
        <v>683</v>
      </c>
      <c r="V47" s="5" t="s">
        <v>683</v>
      </c>
      <c r="W47" s="5" t="s">
        <v>391</v>
      </c>
      <c r="X47" s="5" t="s">
        <v>391</v>
      </c>
      <c r="Y47" s="4">
        <v>342</v>
      </c>
      <c r="Z47" s="4">
        <v>304</v>
      </c>
      <c r="AA47" s="4">
        <v>309</v>
      </c>
      <c r="AB47" s="4">
        <v>3</v>
      </c>
      <c r="AC47" s="4">
        <v>3</v>
      </c>
      <c r="AD47" s="4">
        <v>7</v>
      </c>
      <c r="AE47" s="4">
        <v>7</v>
      </c>
      <c r="AF47" s="4">
        <v>2</v>
      </c>
      <c r="AG47" s="4">
        <v>2</v>
      </c>
      <c r="AH47" s="4">
        <v>2</v>
      </c>
      <c r="AI47" s="4">
        <v>2</v>
      </c>
      <c r="AJ47" s="4">
        <v>3</v>
      </c>
      <c r="AK47" s="4">
        <v>3</v>
      </c>
      <c r="AL47" s="4">
        <v>1</v>
      </c>
      <c r="AM47" s="4">
        <v>1</v>
      </c>
      <c r="AN47" s="4">
        <v>0</v>
      </c>
      <c r="AO47" s="4">
        <v>0</v>
      </c>
      <c r="AP47" s="3" t="s">
        <v>58</v>
      </c>
      <c r="AQ47" s="3" t="s">
        <v>58</v>
      </c>
      <c r="AS47" s="6" t="str">
        <f>HYPERLINK("https://creighton-primo.hosted.exlibrisgroup.com/primo-explore/search?tab=default_tab&amp;search_scope=EVERYTHING&amp;vid=01CRU&amp;lang=en_US&amp;offset=0&amp;query=any,contains,991003696299702656","Catalog Record")</f>
        <v>Catalog Record</v>
      </c>
      <c r="AT47" s="6" t="str">
        <f>HYPERLINK("http://www.worldcat.org/oclc/1328917","WorldCat Record")</f>
        <v>WorldCat Record</v>
      </c>
      <c r="AU47" s="3" t="s">
        <v>684</v>
      </c>
      <c r="AV47" s="3" t="s">
        <v>685</v>
      </c>
      <c r="AW47" s="3" t="s">
        <v>686</v>
      </c>
      <c r="AX47" s="3" t="s">
        <v>686</v>
      </c>
      <c r="AY47" s="3" t="s">
        <v>687</v>
      </c>
      <c r="AZ47" s="3" t="s">
        <v>75</v>
      </c>
      <c r="BC47" s="3" t="s">
        <v>688</v>
      </c>
      <c r="BD47" s="3" t="s">
        <v>689</v>
      </c>
    </row>
    <row r="48" spans="1:56" ht="39" customHeight="1" x14ac:dyDescent="0.25">
      <c r="A48" s="7" t="s">
        <v>58</v>
      </c>
      <c r="B48" s="2" t="s">
        <v>690</v>
      </c>
      <c r="C48" s="2" t="s">
        <v>691</v>
      </c>
      <c r="D48" s="2" t="s">
        <v>692</v>
      </c>
      <c r="F48" s="3" t="s">
        <v>58</v>
      </c>
      <c r="G48" s="3" t="s">
        <v>59</v>
      </c>
      <c r="H48" s="3" t="s">
        <v>58</v>
      </c>
      <c r="I48" s="3" t="s">
        <v>58</v>
      </c>
      <c r="J48" s="3" t="s">
        <v>60</v>
      </c>
      <c r="K48" s="2" t="s">
        <v>693</v>
      </c>
      <c r="L48" s="2" t="s">
        <v>694</v>
      </c>
      <c r="M48" s="3" t="s">
        <v>83</v>
      </c>
      <c r="O48" s="3" t="s">
        <v>65</v>
      </c>
      <c r="P48" s="3" t="s">
        <v>695</v>
      </c>
      <c r="Q48" s="2" t="s">
        <v>696</v>
      </c>
      <c r="R48" s="3" t="s">
        <v>68</v>
      </c>
      <c r="S48" s="4">
        <v>3</v>
      </c>
      <c r="T48" s="4">
        <v>3</v>
      </c>
      <c r="U48" s="5" t="s">
        <v>697</v>
      </c>
      <c r="V48" s="5" t="s">
        <v>697</v>
      </c>
      <c r="W48" s="5" t="s">
        <v>698</v>
      </c>
      <c r="X48" s="5" t="s">
        <v>698</v>
      </c>
      <c r="Y48" s="4">
        <v>308</v>
      </c>
      <c r="Z48" s="4">
        <v>272</v>
      </c>
      <c r="AA48" s="4">
        <v>318</v>
      </c>
      <c r="AB48" s="4">
        <v>2</v>
      </c>
      <c r="AC48" s="4">
        <v>3</v>
      </c>
      <c r="AD48" s="4">
        <v>16</v>
      </c>
      <c r="AE48" s="4">
        <v>23</v>
      </c>
      <c r="AF48" s="4">
        <v>6</v>
      </c>
      <c r="AG48" s="4">
        <v>8</v>
      </c>
      <c r="AH48" s="4">
        <v>2</v>
      </c>
      <c r="AI48" s="4">
        <v>5</v>
      </c>
      <c r="AJ48" s="4">
        <v>13</v>
      </c>
      <c r="AK48" s="4">
        <v>16</v>
      </c>
      <c r="AL48" s="4">
        <v>0</v>
      </c>
      <c r="AM48" s="4">
        <v>1</v>
      </c>
      <c r="AN48" s="4">
        <v>0</v>
      </c>
      <c r="AO48" s="4">
        <v>0</v>
      </c>
      <c r="AP48" s="3" t="s">
        <v>58</v>
      </c>
      <c r="AQ48" s="3" t="s">
        <v>58</v>
      </c>
      <c r="AS48" s="6" t="str">
        <f>HYPERLINK("https://creighton-primo.hosted.exlibrisgroup.com/primo-explore/search?tab=default_tab&amp;search_scope=EVERYTHING&amp;vid=01CRU&amp;lang=en_US&amp;offset=0&amp;query=any,contains,991002827489702656","Catalog Record")</f>
        <v>Catalog Record</v>
      </c>
      <c r="AT48" s="6" t="str">
        <f>HYPERLINK("http://www.worldcat.org/oclc/476078","WorldCat Record")</f>
        <v>WorldCat Record</v>
      </c>
      <c r="AU48" s="3" t="s">
        <v>699</v>
      </c>
      <c r="AV48" s="3" t="s">
        <v>700</v>
      </c>
      <c r="AW48" s="3" t="s">
        <v>701</v>
      </c>
      <c r="AX48" s="3" t="s">
        <v>701</v>
      </c>
      <c r="AY48" s="3" t="s">
        <v>702</v>
      </c>
      <c r="AZ48" s="3" t="s">
        <v>75</v>
      </c>
      <c r="BC48" s="3" t="s">
        <v>703</v>
      </c>
      <c r="BD48" s="3" t="s">
        <v>704</v>
      </c>
    </row>
    <row r="49" spans="1:56" ht="39" customHeight="1" x14ac:dyDescent="0.25">
      <c r="A49" s="7" t="s">
        <v>58</v>
      </c>
      <c r="B49" s="2" t="s">
        <v>705</v>
      </c>
      <c r="C49" s="2" t="s">
        <v>706</v>
      </c>
      <c r="D49" s="2" t="s">
        <v>707</v>
      </c>
      <c r="F49" s="3" t="s">
        <v>58</v>
      </c>
      <c r="G49" s="3" t="s">
        <v>59</v>
      </c>
      <c r="H49" s="3" t="s">
        <v>58</v>
      </c>
      <c r="I49" s="3" t="s">
        <v>58</v>
      </c>
      <c r="J49" s="3" t="s">
        <v>60</v>
      </c>
      <c r="L49" s="2" t="s">
        <v>708</v>
      </c>
      <c r="M49" s="3" t="s">
        <v>709</v>
      </c>
      <c r="O49" s="3" t="s">
        <v>65</v>
      </c>
      <c r="P49" s="3" t="s">
        <v>304</v>
      </c>
      <c r="R49" s="3" t="s">
        <v>68</v>
      </c>
      <c r="S49" s="4">
        <v>4</v>
      </c>
      <c r="T49" s="4">
        <v>4</v>
      </c>
      <c r="U49" s="5" t="s">
        <v>710</v>
      </c>
      <c r="V49" s="5" t="s">
        <v>710</v>
      </c>
      <c r="W49" s="5" t="s">
        <v>711</v>
      </c>
      <c r="X49" s="5" t="s">
        <v>711</v>
      </c>
      <c r="Y49" s="4">
        <v>273</v>
      </c>
      <c r="Z49" s="4">
        <v>235</v>
      </c>
      <c r="AA49" s="4">
        <v>250</v>
      </c>
      <c r="AB49" s="4">
        <v>2</v>
      </c>
      <c r="AC49" s="4">
        <v>3</v>
      </c>
      <c r="AD49" s="4">
        <v>18</v>
      </c>
      <c r="AE49" s="4">
        <v>20</v>
      </c>
      <c r="AF49" s="4">
        <v>9</v>
      </c>
      <c r="AG49" s="4">
        <v>10</v>
      </c>
      <c r="AH49" s="4">
        <v>3</v>
      </c>
      <c r="AI49" s="4">
        <v>4</v>
      </c>
      <c r="AJ49" s="4">
        <v>10</v>
      </c>
      <c r="AK49" s="4">
        <v>10</v>
      </c>
      <c r="AL49" s="4">
        <v>1</v>
      </c>
      <c r="AM49" s="4">
        <v>2</v>
      </c>
      <c r="AN49" s="4">
        <v>0</v>
      </c>
      <c r="AO49" s="4">
        <v>0</v>
      </c>
      <c r="AP49" s="3" t="s">
        <v>58</v>
      </c>
      <c r="AQ49" s="3" t="s">
        <v>58</v>
      </c>
      <c r="AS49" s="6" t="str">
        <f>HYPERLINK("https://creighton-primo.hosted.exlibrisgroup.com/primo-explore/search?tab=default_tab&amp;search_scope=EVERYTHING&amp;vid=01CRU&amp;lang=en_US&amp;offset=0&amp;query=any,contains,991001740729702656","Catalog Record")</f>
        <v>Catalog Record</v>
      </c>
      <c r="AT49" s="6" t="str">
        <f>HYPERLINK("http://www.worldcat.org/oclc/22003845","WorldCat Record")</f>
        <v>WorldCat Record</v>
      </c>
      <c r="AU49" s="3" t="s">
        <v>712</v>
      </c>
      <c r="AV49" s="3" t="s">
        <v>713</v>
      </c>
      <c r="AW49" s="3" t="s">
        <v>714</v>
      </c>
      <c r="AX49" s="3" t="s">
        <v>714</v>
      </c>
      <c r="AY49" s="3" t="s">
        <v>715</v>
      </c>
      <c r="AZ49" s="3" t="s">
        <v>75</v>
      </c>
      <c r="BB49" s="3" t="s">
        <v>716</v>
      </c>
      <c r="BC49" s="3" t="s">
        <v>717</v>
      </c>
      <c r="BD49" s="3" t="s">
        <v>718</v>
      </c>
    </row>
    <row r="50" spans="1:56" ht="39" customHeight="1" x14ac:dyDescent="0.25">
      <c r="A50" s="7" t="s">
        <v>58</v>
      </c>
      <c r="B50" s="2" t="s">
        <v>719</v>
      </c>
      <c r="C50" s="2" t="s">
        <v>720</v>
      </c>
      <c r="D50" s="2" t="s">
        <v>721</v>
      </c>
      <c r="F50" s="3" t="s">
        <v>58</v>
      </c>
      <c r="G50" s="3" t="s">
        <v>59</v>
      </c>
      <c r="H50" s="3" t="s">
        <v>58</v>
      </c>
      <c r="I50" s="3" t="s">
        <v>58</v>
      </c>
      <c r="J50" s="3" t="s">
        <v>60</v>
      </c>
      <c r="K50" s="2" t="s">
        <v>722</v>
      </c>
      <c r="L50" s="2" t="s">
        <v>723</v>
      </c>
      <c r="M50" s="3" t="s">
        <v>682</v>
      </c>
      <c r="O50" s="3" t="s">
        <v>65</v>
      </c>
      <c r="P50" s="3" t="s">
        <v>492</v>
      </c>
      <c r="R50" s="3" t="s">
        <v>68</v>
      </c>
      <c r="S50" s="4">
        <v>1</v>
      </c>
      <c r="T50" s="4">
        <v>1</v>
      </c>
      <c r="U50" s="5" t="s">
        <v>724</v>
      </c>
      <c r="V50" s="5" t="s">
        <v>724</v>
      </c>
      <c r="W50" s="5" t="s">
        <v>391</v>
      </c>
      <c r="X50" s="5" t="s">
        <v>391</v>
      </c>
      <c r="Y50" s="4">
        <v>156</v>
      </c>
      <c r="Z50" s="4">
        <v>143</v>
      </c>
      <c r="AA50" s="4">
        <v>143</v>
      </c>
      <c r="AB50" s="4">
        <v>2</v>
      </c>
      <c r="AC50" s="4">
        <v>2</v>
      </c>
      <c r="AD50" s="4">
        <v>5</v>
      </c>
      <c r="AE50" s="4">
        <v>5</v>
      </c>
      <c r="AF50" s="4">
        <v>3</v>
      </c>
      <c r="AG50" s="4">
        <v>3</v>
      </c>
      <c r="AH50" s="4">
        <v>0</v>
      </c>
      <c r="AI50" s="4">
        <v>0</v>
      </c>
      <c r="AJ50" s="4">
        <v>1</v>
      </c>
      <c r="AK50" s="4">
        <v>1</v>
      </c>
      <c r="AL50" s="4">
        <v>1</v>
      </c>
      <c r="AM50" s="4">
        <v>1</v>
      </c>
      <c r="AN50" s="4">
        <v>0</v>
      </c>
      <c r="AO50" s="4">
        <v>0</v>
      </c>
      <c r="AP50" s="3" t="s">
        <v>58</v>
      </c>
      <c r="AQ50" s="3" t="s">
        <v>58</v>
      </c>
      <c r="AS50" s="6" t="str">
        <f>HYPERLINK("https://creighton-primo.hosted.exlibrisgroup.com/primo-explore/search?tab=default_tab&amp;search_scope=EVERYTHING&amp;vid=01CRU&amp;lang=en_US&amp;offset=0&amp;query=any,contains,991004337169702656","Catalog Record")</f>
        <v>Catalog Record</v>
      </c>
      <c r="AT50" s="6" t="str">
        <f>HYPERLINK("http://www.worldcat.org/oclc/3076900","WorldCat Record")</f>
        <v>WorldCat Record</v>
      </c>
      <c r="AU50" s="3" t="s">
        <v>725</v>
      </c>
      <c r="AV50" s="3" t="s">
        <v>726</v>
      </c>
      <c r="AW50" s="3" t="s">
        <v>727</v>
      </c>
      <c r="AX50" s="3" t="s">
        <v>727</v>
      </c>
      <c r="AY50" s="3" t="s">
        <v>728</v>
      </c>
      <c r="AZ50" s="3" t="s">
        <v>75</v>
      </c>
      <c r="BC50" s="3" t="s">
        <v>729</v>
      </c>
      <c r="BD50" s="3" t="s">
        <v>730</v>
      </c>
    </row>
    <row r="51" spans="1:56" ht="39" customHeight="1" x14ac:dyDescent="0.25">
      <c r="A51" s="7" t="s">
        <v>58</v>
      </c>
      <c r="B51" s="2" t="s">
        <v>731</v>
      </c>
      <c r="C51" s="2" t="s">
        <v>732</v>
      </c>
      <c r="D51" s="2" t="s">
        <v>733</v>
      </c>
      <c r="F51" s="3" t="s">
        <v>58</v>
      </c>
      <c r="G51" s="3" t="s">
        <v>59</v>
      </c>
      <c r="H51" s="3" t="s">
        <v>58</v>
      </c>
      <c r="I51" s="3" t="s">
        <v>58</v>
      </c>
      <c r="J51" s="3" t="s">
        <v>60</v>
      </c>
      <c r="L51" s="2" t="s">
        <v>734</v>
      </c>
      <c r="M51" s="3" t="s">
        <v>229</v>
      </c>
      <c r="O51" s="3" t="s">
        <v>65</v>
      </c>
      <c r="P51" s="3" t="s">
        <v>274</v>
      </c>
      <c r="R51" s="3" t="s">
        <v>68</v>
      </c>
      <c r="S51" s="4">
        <v>1</v>
      </c>
      <c r="T51" s="4">
        <v>1</v>
      </c>
      <c r="U51" s="5" t="s">
        <v>735</v>
      </c>
      <c r="V51" s="5" t="s">
        <v>735</v>
      </c>
      <c r="W51" s="5" t="s">
        <v>391</v>
      </c>
      <c r="X51" s="5" t="s">
        <v>391</v>
      </c>
      <c r="Y51" s="4">
        <v>271</v>
      </c>
      <c r="Z51" s="4">
        <v>232</v>
      </c>
      <c r="AA51" s="4">
        <v>237</v>
      </c>
      <c r="AB51" s="4">
        <v>3</v>
      </c>
      <c r="AC51" s="4">
        <v>3</v>
      </c>
      <c r="AD51" s="4">
        <v>17</v>
      </c>
      <c r="AE51" s="4">
        <v>17</v>
      </c>
      <c r="AF51" s="4">
        <v>7</v>
      </c>
      <c r="AG51" s="4">
        <v>7</v>
      </c>
      <c r="AH51" s="4">
        <v>3</v>
      </c>
      <c r="AI51" s="4">
        <v>3</v>
      </c>
      <c r="AJ51" s="4">
        <v>9</v>
      </c>
      <c r="AK51" s="4">
        <v>9</v>
      </c>
      <c r="AL51" s="4">
        <v>2</v>
      </c>
      <c r="AM51" s="4">
        <v>2</v>
      </c>
      <c r="AN51" s="4">
        <v>0</v>
      </c>
      <c r="AO51" s="4">
        <v>0</v>
      </c>
      <c r="AP51" s="3" t="s">
        <v>58</v>
      </c>
      <c r="AQ51" s="3" t="s">
        <v>58</v>
      </c>
      <c r="AS51" s="6" t="str">
        <f>HYPERLINK("https://creighton-primo.hosted.exlibrisgroup.com/primo-explore/search?tab=default_tab&amp;search_scope=EVERYTHING&amp;vid=01CRU&amp;lang=en_US&amp;offset=0&amp;query=any,contains,991001470869702656","Catalog Record")</f>
        <v>Catalog Record</v>
      </c>
      <c r="AT51" s="6" t="str">
        <f>HYPERLINK("http://www.worldcat.org/oclc/19552832","WorldCat Record")</f>
        <v>WorldCat Record</v>
      </c>
      <c r="AU51" s="3" t="s">
        <v>736</v>
      </c>
      <c r="AV51" s="3" t="s">
        <v>737</v>
      </c>
      <c r="AW51" s="3" t="s">
        <v>738</v>
      </c>
      <c r="AX51" s="3" t="s">
        <v>738</v>
      </c>
      <c r="AY51" s="3" t="s">
        <v>739</v>
      </c>
      <c r="AZ51" s="3" t="s">
        <v>75</v>
      </c>
      <c r="BB51" s="3" t="s">
        <v>740</v>
      </c>
      <c r="BC51" s="3" t="s">
        <v>741</v>
      </c>
      <c r="BD51" s="3" t="s">
        <v>742</v>
      </c>
    </row>
    <row r="52" spans="1:56" ht="39" customHeight="1" x14ac:dyDescent="0.25">
      <c r="A52" s="7" t="s">
        <v>58</v>
      </c>
      <c r="B52" s="2" t="s">
        <v>743</v>
      </c>
      <c r="C52" s="2" t="s">
        <v>744</v>
      </c>
      <c r="D52" s="2" t="s">
        <v>580</v>
      </c>
      <c r="F52" s="3" t="s">
        <v>58</v>
      </c>
      <c r="G52" s="3" t="s">
        <v>59</v>
      </c>
      <c r="H52" s="3" t="s">
        <v>58</v>
      </c>
      <c r="I52" s="3" t="s">
        <v>132</v>
      </c>
      <c r="J52" s="3" t="s">
        <v>60</v>
      </c>
      <c r="K52" s="2" t="s">
        <v>581</v>
      </c>
      <c r="L52" s="2" t="s">
        <v>745</v>
      </c>
      <c r="M52" s="3" t="s">
        <v>289</v>
      </c>
      <c r="N52" s="2" t="s">
        <v>746</v>
      </c>
      <c r="O52" s="3" t="s">
        <v>65</v>
      </c>
      <c r="P52" s="3" t="s">
        <v>477</v>
      </c>
      <c r="R52" s="3" t="s">
        <v>68</v>
      </c>
      <c r="S52" s="4">
        <v>7</v>
      </c>
      <c r="T52" s="4">
        <v>7</v>
      </c>
      <c r="U52" s="5" t="s">
        <v>747</v>
      </c>
      <c r="V52" s="5" t="s">
        <v>747</v>
      </c>
      <c r="W52" s="5" t="s">
        <v>748</v>
      </c>
      <c r="X52" s="5" t="s">
        <v>748</v>
      </c>
      <c r="Y52" s="4">
        <v>153</v>
      </c>
      <c r="Z52" s="4">
        <v>123</v>
      </c>
      <c r="AA52" s="4">
        <v>569</v>
      </c>
      <c r="AB52" s="4">
        <v>2</v>
      </c>
      <c r="AC52" s="4">
        <v>7</v>
      </c>
      <c r="AD52" s="4">
        <v>7</v>
      </c>
      <c r="AE52" s="4">
        <v>40</v>
      </c>
      <c r="AF52" s="4">
        <v>4</v>
      </c>
      <c r="AG52" s="4">
        <v>17</v>
      </c>
      <c r="AH52" s="4">
        <v>1</v>
      </c>
      <c r="AI52" s="4">
        <v>8</v>
      </c>
      <c r="AJ52" s="4">
        <v>2</v>
      </c>
      <c r="AK52" s="4">
        <v>23</v>
      </c>
      <c r="AL52" s="4">
        <v>1</v>
      </c>
      <c r="AM52" s="4">
        <v>5</v>
      </c>
      <c r="AN52" s="4">
        <v>0</v>
      </c>
      <c r="AO52" s="4">
        <v>0</v>
      </c>
      <c r="AP52" s="3" t="s">
        <v>58</v>
      </c>
      <c r="AQ52" s="3" t="s">
        <v>58</v>
      </c>
      <c r="AS52" s="6" t="str">
        <f>HYPERLINK("https://creighton-primo.hosted.exlibrisgroup.com/primo-explore/search?tab=default_tab&amp;search_scope=EVERYTHING&amp;vid=01CRU&amp;lang=en_US&amp;offset=0&amp;query=any,contains,991000141739702656","Catalog Record")</f>
        <v>Catalog Record</v>
      </c>
      <c r="AT52" s="6" t="str">
        <f>HYPERLINK("http://www.worldcat.org/oclc/9159255","WorldCat Record")</f>
        <v>WorldCat Record</v>
      </c>
      <c r="AU52" s="3" t="s">
        <v>583</v>
      </c>
      <c r="AV52" s="3" t="s">
        <v>749</v>
      </c>
      <c r="AW52" s="3" t="s">
        <v>750</v>
      </c>
      <c r="AX52" s="3" t="s">
        <v>750</v>
      </c>
      <c r="AY52" s="3" t="s">
        <v>751</v>
      </c>
      <c r="AZ52" s="3" t="s">
        <v>75</v>
      </c>
      <c r="BB52" s="3" t="s">
        <v>752</v>
      </c>
      <c r="BC52" s="3" t="s">
        <v>753</v>
      </c>
      <c r="BD52" s="3" t="s">
        <v>754</v>
      </c>
    </row>
    <row r="53" spans="1:56" ht="39" customHeight="1" x14ac:dyDescent="0.25">
      <c r="A53" s="7" t="s">
        <v>58</v>
      </c>
      <c r="B53" s="2" t="s">
        <v>755</v>
      </c>
      <c r="C53" s="2" t="s">
        <v>756</v>
      </c>
      <c r="D53" s="2" t="s">
        <v>757</v>
      </c>
      <c r="F53" s="3" t="s">
        <v>58</v>
      </c>
      <c r="G53" s="3" t="s">
        <v>59</v>
      </c>
      <c r="H53" s="3" t="s">
        <v>58</v>
      </c>
      <c r="I53" s="3" t="s">
        <v>58</v>
      </c>
      <c r="J53" s="3" t="s">
        <v>60</v>
      </c>
      <c r="L53" s="2" t="s">
        <v>758</v>
      </c>
      <c r="M53" s="3" t="s">
        <v>759</v>
      </c>
      <c r="O53" s="3" t="s">
        <v>65</v>
      </c>
      <c r="P53" s="3" t="s">
        <v>274</v>
      </c>
      <c r="R53" s="3" t="s">
        <v>68</v>
      </c>
      <c r="S53" s="4">
        <v>4</v>
      </c>
      <c r="T53" s="4">
        <v>4</v>
      </c>
      <c r="U53" s="5" t="s">
        <v>531</v>
      </c>
      <c r="V53" s="5" t="s">
        <v>531</v>
      </c>
      <c r="W53" s="5" t="s">
        <v>348</v>
      </c>
      <c r="X53" s="5" t="s">
        <v>348</v>
      </c>
      <c r="Y53" s="4">
        <v>283</v>
      </c>
      <c r="Z53" s="4">
        <v>236</v>
      </c>
      <c r="AA53" s="4">
        <v>244</v>
      </c>
      <c r="AB53" s="4">
        <v>3</v>
      </c>
      <c r="AC53" s="4">
        <v>3</v>
      </c>
      <c r="AD53" s="4">
        <v>19</v>
      </c>
      <c r="AE53" s="4">
        <v>19</v>
      </c>
      <c r="AF53" s="4">
        <v>8</v>
      </c>
      <c r="AG53" s="4">
        <v>8</v>
      </c>
      <c r="AH53" s="4">
        <v>4</v>
      </c>
      <c r="AI53" s="4">
        <v>4</v>
      </c>
      <c r="AJ53" s="4">
        <v>10</v>
      </c>
      <c r="AK53" s="4">
        <v>10</v>
      </c>
      <c r="AL53" s="4">
        <v>2</v>
      </c>
      <c r="AM53" s="4">
        <v>2</v>
      </c>
      <c r="AN53" s="4">
        <v>0</v>
      </c>
      <c r="AO53" s="4">
        <v>0</v>
      </c>
      <c r="AP53" s="3" t="s">
        <v>58</v>
      </c>
      <c r="AQ53" s="3" t="s">
        <v>58</v>
      </c>
      <c r="AS53" s="6" t="str">
        <f>HYPERLINK("https://creighton-primo.hosted.exlibrisgroup.com/primo-explore/search?tab=default_tab&amp;search_scope=EVERYTHING&amp;vid=01CRU&amp;lang=en_US&amp;offset=0&amp;query=any,contains,991001193599702656","Catalog Record")</f>
        <v>Catalog Record</v>
      </c>
      <c r="AT53" s="6" t="str">
        <f>HYPERLINK("http://www.worldcat.org/oclc/17263290","WorldCat Record")</f>
        <v>WorldCat Record</v>
      </c>
      <c r="AU53" s="3" t="s">
        <v>760</v>
      </c>
      <c r="AV53" s="3" t="s">
        <v>761</v>
      </c>
      <c r="AW53" s="3" t="s">
        <v>762</v>
      </c>
      <c r="AX53" s="3" t="s">
        <v>762</v>
      </c>
      <c r="AY53" s="3" t="s">
        <v>763</v>
      </c>
      <c r="AZ53" s="3" t="s">
        <v>75</v>
      </c>
      <c r="BB53" s="3" t="s">
        <v>764</v>
      </c>
      <c r="BC53" s="3" t="s">
        <v>765</v>
      </c>
      <c r="BD53" s="3" t="s">
        <v>766</v>
      </c>
    </row>
    <row r="54" spans="1:56" ht="39" customHeight="1" x14ac:dyDescent="0.25">
      <c r="A54" s="7" t="s">
        <v>58</v>
      </c>
      <c r="B54" s="2" t="s">
        <v>767</v>
      </c>
      <c r="C54" s="2" t="s">
        <v>768</v>
      </c>
      <c r="D54" s="2" t="s">
        <v>769</v>
      </c>
      <c r="F54" s="3" t="s">
        <v>58</v>
      </c>
      <c r="G54" s="3" t="s">
        <v>59</v>
      </c>
      <c r="H54" s="3" t="s">
        <v>58</v>
      </c>
      <c r="I54" s="3" t="s">
        <v>58</v>
      </c>
      <c r="J54" s="3" t="s">
        <v>60</v>
      </c>
      <c r="L54" s="2" t="s">
        <v>770</v>
      </c>
      <c r="M54" s="3" t="s">
        <v>303</v>
      </c>
      <c r="O54" s="3" t="s">
        <v>65</v>
      </c>
      <c r="P54" s="3" t="s">
        <v>186</v>
      </c>
      <c r="R54" s="3" t="s">
        <v>68</v>
      </c>
      <c r="S54" s="4">
        <v>2</v>
      </c>
      <c r="T54" s="4">
        <v>2</v>
      </c>
      <c r="U54" s="5" t="s">
        <v>531</v>
      </c>
      <c r="V54" s="5" t="s">
        <v>531</v>
      </c>
      <c r="W54" s="5" t="s">
        <v>391</v>
      </c>
      <c r="X54" s="5" t="s">
        <v>391</v>
      </c>
      <c r="Y54" s="4">
        <v>281</v>
      </c>
      <c r="Z54" s="4">
        <v>232</v>
      </c>
      <c r="AA54" s="4">
        <v>232</v>
      </c>
      <c r="AB54" s="4">
        <v>3</v>
      </c>
      <c r="AC54" s="4">
        <v>3</v>
      </c>
      <c r="AD54" s="4">
        <v>24</v>
      </c>
      <c r="AE54" s="4">
        <v>24</v>
      </c>
      <c r="AF54" s="4">
        <v>7</v>
      </c>
      <c r="AG54" s="4">
        <v>7</v>
      </c>
      <c r="AH54" s="4">
        <v>6</v>
      </c>
      <c r="AI54" s="4">
        <v>6</v>
      </c>
      <c r="AJ54" s="4">
        <v>16</v>
      </c>
      <c r="AK54" s="4">
        <v>16</v>
      </c>
      <c r="AL54" s="4">
        <v>2</v>
      </c>
      <c r="AM54" s="4">
        <v>2</v>
      </c>
      <c r="AN54" s="4">
        <v>0</v>
      </c>
      <c r="AO54" s="4">
        <v>0</v>
      </c>
      <c r="AP54" s="3" t="s">
        <v>58</v>
      </c>
      <c r="AQ54" s="3" t="s">
        <v>58</v>
      </c>
      <c r="AS54" s="6" t="str">
        <f>HYPERLINK("https://creighton-primo.hosted.exlibrisgroup.com/primo-explore/search?tab=default_tab&amp;search_scope=EVERYTHING&amp;vid=01CRU&amp;lang=en_US&amp;offset=0&amp;query=any,contains,991004185779702656","Catalog Record")</f>
        <v>Catalog Record</v>
      </c>
      <c r="AT54" s="6" t="str">
        <f>HYPERLINK("http://www.worldcat.org/oclc/2584961","WorldCat Record")</f>
        <v>WorldCat Record</v>
      </c>
      <c r="AU54" s="3" t="s">
        <v>771</v>
      </c>
      <c r="AV54" s="3" t="s">
        <v>772</v>
      </c>
      <c r="AW54" s="3" t="s">
        <v>773</v>
      </c>
      <c r="AX54" s="3" t="s">
        <v>773</v>
      </c>
      <c r="AY54" s="3" t="s">
        <v>774</v>
      </c>
      <c r="AZ54" s="3" t="s">
        <v>75</v>
      </c>
      <c r="BB54" s="3" t="s">
        <v>775</v>
      </c>
      <c r="BC54" s="3" t="s">
        <v>776</v>
      </c>
      <c r="BD54" s="3" t="s">
        <v>777</v>
      </c>
    </row>
    <row r="55" spans="1:56" ht="39" customHeight="1" x14ac:dyDescent="0.25">
      <c r="A55" s="7" t="s">
        <v>58</v>
      </c>
      <c r="B55" s="2" t="s">
        <v>778</v>
      </c>
      <c r="C55" s="2" t="s">
        <v>779</v>
      </c>
      <c r="D55" s="2" t="s">
        <v>780</v>
      </c>
      <c r="F55" s="3" t="s">
        <v>58</v>
      </c>
      <c r="G55" s="3" t="s">
        <v>59</v>
      </c>
      <c r="H55" s="3" t="s">
        <v>58</v>
      </c>
      <c r="I55" s="3" t="s">
        <v>58</v>
      </c>
      <c r="J55" s="3" t="s">
        <v>60</v>
      </c>
      <c r="L55" s="2" t="s">
        <v>619</v>
      </c>
      <c r="M55" s="3" t="s">
        <v>781</v>
      </c>
      <c r="O55" s="3" t="s">
        <v>65</v>
      </c>
      <c r="P55" s="3" t="s">
        <v>274</v>
      </c>
      <c r="R55" s="3" t="s">
        <v>68</v>
      </c>
      <c r="S55" s="4">
        <v>5</v>
      </c>
      <c r="T55" s="4">
        <v>5</v>
      </c>
      <c r="U55" s="5" t="s">
        <v>558</v>
      </c>
      <c r="V55" s="5" t="s">
        <v>558</v>
      </c>
      <c r="W55" s="5" t="s">
        <v>782</v>
      </c>
      <c r="X55" s="5" t="s">
        <v>782</v>
      </c>
      <c r="Y55" s="4">
        <v>375</v>
      </c>
      <c r="Z55" s="4">
        <v>326</v>
      </c>
      <c r="AA55" s="4">
        <v>328</v>
      </c>
      <c r="AB55" s="4">
        <v>3</v>
      </c>
      <c r="AC55" s="4">
        <v>3</v>
      </c>
      <c r="AD55" s="4">
        <v>22</v>
      </c>
      <c r="AE55" s="4">
        <v>22</v>
      </c>
      <c r="AF55" s="4">
        <v>10</v>
      </c>
      <c r="AG55" s="4">
        <v>10</v>
      </c>
      <c r="AH55" s="4">
        <v>2</v>
      </c>
      <c r="AI55" s="4">
        <v>2</v>
      </c>
      <c r="AJ55" s="4">
        <v>14</v>
      </c>
      <c r="AK55" s="4">
        <v>14</v>
      </c>
      <c r="AL55" s="4">
        <v>2</v>
      </c>
      <c r="AM55" s="4">
        <v>2</v>
      </c>
      <c r="AN55" s="4">
        <v>0</v>
      </c>
      <c r="AO55" s="4">
        <v>0</v>
      </c>
      <c r="AP55" s="3" t="s">
        <v>58</v>
      </c>
      <c r="AQ55" s="3" t="s">
        <v>132</v>
      </c>
      <c r="AR55" s="6" t="str">
        <f>HYPERLINK("http://catalog.hathitrust.org/Record/000380557","HathiTrust Record")</f>
        <v>HathiTrust Record</v>
      </c>
      <c r="AS55" s="6" t="str">
        <f>HYPERLINK("https://creighton-primo.hosted.exlibrisgroup.com/primo-explore/search?tab=default_tab&amp;search_scope=EVERYTHING&amp;vid=01CRU&amp;lang=en_US&amp;offset=0&amp;query=any,contains,991000657759702656","Catalog Record")</f>
        <v>Catalog Record</v>
      </c>
      <c r="AT55" s="6" t="str">
        <f>HYPERLINK("http://www.worldcat.org/oclc/12217186","WorldCat Record")</f>
        <v>WorldCat Record</v>
      </c>
      <c r="AU55" s="3" t="s">
        <v>783</v>
      </c>
      <c r="AV55" s="3" t="s">
        <v>784</v>
      </c>
      <c r="AW55" s="3" t="s">
        <v>785</v>
      </c>
      <c r="AX55" s="3" t="s">
        <v>785</v>
      </c>
      <c r="AY55" s="3" t="s">
        <v>786</v>
      </c>
      <c r="AZ55" s="3" t="s">
        <v>75</v>
      </c>
      <c r="BB55" s="3" t="s">
        <v>787</v>
      </c>
      <c r="BC55" s="3" t="s">
        <v>788</v>
      </c>
      <c r="BD55" s="3" t="s">
        <v>789</v>
      </c>
    </row>
    <row r="56" spans="1:56" ht="39" customHeight="1" x14ac:dyDescent="0.25">
      <c r="A56" s="7" t="s">
        <v>58</v>
      </c>
      <c r="B56" s="2" t="s">
        <v>790</v>
      </c>
      <c r="C56" s="2" t="s">
        <v>791</v>
      </c>
      <c r="D56" s="2" t="s">
        <v>792</v>
      </c>
      <c r="F56" s="3" t="s">
        <v>58</v>
      </c>
      <c r="G56" s="3" t="s">
        <v>59</v>
      </c>
      <c r="H56" s="3" t="s">
        <v>58</v>
      </c>
      <c r="I56" s="3" t="s">
        <v>58</v>
      </c>
      <c r="J56" s="3" t="s">
        <v>60</v>
      </c>
      <c r="L56" s="2" t="s">
        <v>793</v>
      </c>
      <c r="M56" s="3" t="s">
        <v>128</v>
      </c>
      <c r="O56" s="3" t="s">
        <v>65</v>
      </c>
      <c r="P56" s="3" t="s">
        <v>113</v>
      </c>
      <c r="R56" s="3" t="s">
        <v>68</v>
      </c>
      <c r="S56" s="4">
        <v>1</v>
      </c>
      <c r="T56" s="4">
        <v>1</v>
      </c>
      <c r="U56" s="5" t="s">
        <v>493</v>
      </c>
      <c r="V56" s="5" t="s">
        <v>493</v>
      </c>
      <c r="W56" s="5" t="s">
        <v>782</v>
      </c>
      <c r="X56" s="5" t="s">
        <v>782</v>
      </c>
      <c r="Y56" s="4">
        <v>147</v>
      </c>
      <c r="Z56" s="4">
        <v>121</v>
      </c>
      <c r="AA56" s="4">
        <v>126</v>
      </c>
      <c r="AB56" s="4">
        <v>2</v>
      </c>
      <c r="AC56" s="4">
        <v>2</v>
      </c>
      <c r="AD56" s="4">
        <v>19</v>
      </c>
      <c r="AE56" s="4">
        <v>19</v>
      </c>
      <c r="AF56" s="4">
        <v>4</v>
      </c>
      <c r="AG56" s="4">
        <v>4</v>
      </c>
      <c r="AH56" s="4">
        <v>6</v>
      </c>
      <c r="AI56" s="4">
        <v>6</v>
      </c>
      <c r="AJ56" s="4">
        <v>14</v>
      </c>
      <c r="AK56" s="4">
        <v>14</v>
      </c>
      <c r="AL56" s="4">
        <v>1</v>
      </c>
      <c r="AM56" s="4">
        <v>1</v>
      </c>
      <c r="AN56" s="4">
        <v>0</v>
      </c>
      <c r="AO56" s="4">
        <v>0</v>
      </c>
      <c r="AP56" s="3" t="s">
        <v>58</v>
      </c>
      <c r="AQ56" s="3" t="s">
        <v>58</v>
      </c>
      <c r="AS56" s="6" t="str">
        <f>HYPERLINK("https://creighton-primo.hosted.exlibrisgroup.com/primo-explore/search?tab=default_tab&amp;search_scope=EVERYTHING&amp;vid=01CRU&amp;lang=en_US&amp;offset=0&amp;query=any,contains,991004499159702656","Catalog Record")</f>
        <v>Catalog Record</v>
      </c>
      <c r="AT56" s="6" t="str">
        <f>HYPERLINK("http://www.worldcat.org/oclc/3710450","WorldCat Record")</f>
        <v>WorldCat Record</v>
      </c>
      <c r="AU56" s="3" t="s">
        <v>794</v>
      </c>
      <c r="AV56" s="3" t="s">
        <v>795</v>
      </c>
      <c r="AW56" s="3" t="s">
        <v>796</v>
      </c>
      <c r="AX56" s="3" t="s">
        <v>796</v>
      </c>
      <c r="AY56" s="3" t="s">
        <v>797</v>
      </c>
      <c r="AZ56" s="3" t="s">
        <v>75</v>
      </c>
      <c r="BC56" s="3" t="s">
        <v>798</v>
      </c>
      <c r="BD56" s="3" t="s">
        <v>799</v>
      </c>
    </row>
    <row r="57" spans="1:56" ht="39" customHeight="1" x14ac:dyDescent="0.25">
      <c r="A57" s="7" t="s">
        <v>58</v>
      </c>
      <c r="B57" s="2" t="s">
        <v>800</v>
      </c>
      <c r="C57" s="2" t="s">
        <v>801</v>
      </c>
      <c r="D57" s="2" t="s">
        <v>802</v>
      </c>
      <c r="F57" s="3" t="s">
        <v>58</v>
      </c>
      <c r="G57" s="3" t="s">
        <v>59</v>
      </c>
      <c r="H57" s="3" t="s">
        <v>58</v>
      </c>
      <c r="I57" s="3" t="s">
        <v>58</v>
      </c>
      <c r="J57" s="3" t="s">
        <v>60</v>
      </c>
      <c r="K57" s="2" t="s">
        <v>81</v>
      </c>
      <c r="L57" s="2" t="s">
        <v>803</v>
      </c>
      <c r="M57" s="3" t="s">
        <v>427</v>
      </c>
      <c r="N57" s="2" t="s">
        <v>476</v>
      </c>
      <c r="O57" s="3" t="s">
        <v>65</v>
      </c>
      <c r="P57" s="3" t="s">
        <v>477</v>
      </c>
      <c r="R57" s="3" t="s">
        <v>68</v>
      </c>
      <c r="S57" s="4">
        <v>3</v>
      </c>
      <c r="T57" s="4">
        <v>3</v>
      </c>
      <c r="U57" s="5" t="s">
        <v>804</v>
      </c>
      <c r="V57" s="5" t="s">
        <v>804</v>
      </c>
      <c r="W57" s="5" t="s">
        <v>805</v>
      </c>
      <c r="X57" s="5" t="s">
        <v>805</v>
      </c>
      <c r="Y57" s="4">
        <v>429</v>
      </c>
      <c r="Z57" s="4">
        <v>391</v>
      </c>
      <c r="AA57" s="4">
        <v>421</v>
      </c>
      <c r="AB57" s="4">
        <v>2</v>
      </c>
      <c r="AC57" s="4">
        <v>2</v>
      </c>
      <c r="AD57" s="4">
        <v>16</v>
      </c>
      <c r="AE57" s="4">
        <v>19</v>
      </c>
      <c r="AF57" s="4">
        <v>4</v>
      </c>
      <c r="AG57" s="4">
        <v>6</v>
      </c>
      <c r="AH57" s="4">
        <v>7</v>
      </c>
      <c r="AI57" s="4">
        <v>7</v>
      </c>
      <c r="AJ57" s="4">
        <v>9</v>
      </c>
      <c r="AK57" s="4">
        <v>10</v>
      </c>
      <c r="AL57" s="4">
        <v>1</v>
      </c>
      <c r="AM57" s="4">
        <v>1</v>
      </c>
      <c r="AN57" s="4">
        <v>0</v>
      </c>
      <c r="AO57" s="4">
        <v>0</v>
      </c>
      <c r="AP57" s="3" t="s">
        <v>58</v>
      </c>
      <c r="AQ57" s="3" t="s">
        <v>58</v>
      </c>
      <c r="AS57" s="6" t="str">
        <f>HYPERLINK("https://creighton-primo.hosted.exlibrisgroup.com/primo-explore/search?tab=default_tab&amp;search_scope=EVERYTHING&amp;vid=01CRU&amp;lang=en_US&amp;offset=0&amp;query=any,contains,991004657559702656","Catalog Record")</f>
        <v>Catalog Record</v>
      </c>
      <c r="AT57" s="6" t="str">
        <f>HYPERLINK("http://www.worldcat.org/oclc/4495713","WorldCat Record")</f>
        <v>WorldCat Record</v>
      </c>
      <c r="AU57" s="3" t="s">
        <v>806</v>
      </c>
      <c r="AV57" s="3" t="s">
        <v>807</v>
      </c>
      <c r="AW57" s="3" t="s">
        <v>808</v>
      </c>
      <c r="AX57" s="3" t="s">
        <v>808</v>
      </c>
      <c r="AY57" s="3" t="s">
        <v>809</v>
      </c>
      <c r="AZ57" s="3" t="s">
        <v>75</v>
      </c>
      <c r="BB57" s="3" t="s">
        <v>810</v>
      </c>
      <c r="BC57" s="3" t="s">
        <v>811</v>
      </c>
      <c r="BD57" s="3" t="s">
        <v>812</v>
      </c>
    </row>
    <row r="58" spans="1:56" ht="39" customHeight="1" x14ac:dyDescent="0.25">
      <c r="A58" s="7" t="s">
        <v>58</v>
      </c>
      <c r="B58" s="2" t="s">
        <v>813</v>
      </c>
      <c r="C58" s="2" t="s">
        <v>814</v>
      </c>
      <c r="D58" s="2" t="s">
        <v>815</v>
      </c>
      <c r="F58" s="3" t="s">
        <v>58</v>
      </c>
      <c r="G58" s="3" t="s">
        <v>59</v>
      </c>
      <c r="H58" s="3" t="s">
        <v>58</v>
      </c>
      <c r="I58" s="3" t="s">
        <v>58</v>
      </c>
      <c r="J58" s="3" t="s">
        <v>60</v>
      </c>
      <c r="L58" s="2" t="s">
        <v>816</v>
      </c>
      <c r="M58" s="3" t="s">
        <v>112</v>
      </c>
      <c r="O58" s="3" t="s">
        <v>65</v>
      </c>
      <c r="P58" s="3" t="s">
        <v>274</v>
      </c>
      <c r="R58" s="3" t="s">
        <v>68</v>
      </c>
      <c r="S58" s="4">
        <v>8</v>
      </c>
      <c r="T58" s="4">
        <v>8</v>
      </c>
      <c r="U58" s="5" t="s">
        <v>817</v>
      </c>
      <c r="V58" s="5" t="s">
        <v>817</v>
      </c>
      <c r="W58" s="5" t="s">
        <v>818</v>
      </c>
      <c r="X58" s="5" t="s">
        <v>818</v>
      </c>
      <c r="Y58" s="4">
        <v>319</v>
      </c>
      <c r="Z58" s="4">
        <v>266</v>
      </c>
      <c r="AA58" s="4">
        <v>272</v>
      </c>
      <c r="AB58" s="4">
        <v>6</v>
      </c>
      <c r="AC58" s="4">
        <v>6</v>
      </c>
      <c r="AD58" s="4">
        <v>23</v>
      </c>
      <c r="AE58" s="4">
        <v>23</v>
      </c>
      <c r="AF58" s="4">
        <v>9</v>
      </c>
      <c r="AG58" s="4">
        <v>9</v>
      </c>
      <c r="AH58" s="4">
        <v>4</v>
      </c>
      <c r="AI58" s="4">
        <v>4</v>
      </c>
      <c r="AJ58" s="4">
        <v>10</v>
      </c>
      <c r="AK58" s="4">
        <v>10</v>
      </c>
      <c r="AL58" s="4">
        <v>5</v>
      </c>
      <c r="AM58" s="4">
        <v>5</v>
      </c>
      <c r="AN58" s="4">
        <v>0</v>
      </c>
      <c r="AO58" s="4">
        <v>0</v>
      </c>
      <c r="AP58" s="3" t="s">
        <v>58</v>
      </c>
      <c r="AQ58" s="3" t="s">
        <v>58</v>
      </c>
      <c r="AS58" s="6" t="str">
        <f>HYPERLINK("https://creighton-primo.hosted.exlibrisgroup.com/primo-explore/search?tab=default_tab&amp;search_scope=EVERYTHING&amp;vid=01CRU&amp;lang=en_US&amp;offset=0&amp;query=any,contains,991001973199702656","Catalog Record")</f>
        <v>Catalog Record</v>
      </c>
      <c r="AT58" s="6" t="str">
        <f>HYPERLINK("http://www.worldcat.org/oclc/25025870","WorldCat Record")</f>
        <v>WorldCat Record</v>
      </c>
      <c r="AU58" s="3" t="s">
        <v>819</v>
      </c>
      <c r="AV58" s="3" t="s">
        <v>820</v>
      </c>
      <c r="AW58" s="3" t="s">
        <v>821</v>
      </c>
      <c r="AX58" s="3" t="s">
        <v>821</v>
      </c>
      <c r="AY58" s="3" t="s">
        <v>822</v>
      </c>
      <c r="AZ58" s="3" t="s">
        <v>75</v>
      </c>
      <c r="BB58" s="3" t="s">
        <v>823</v>
      </c>
      <c r="BC58" s="3" t="s">
        <v>824</v>
      </c>
      <c r="BD58" s="3" t="s">
        <v>825</v>
      </c>
    </row>
    <row r="59" spans="1:56" ht="39" customHeight="1" x14ac:dyDescent="0.25">
      <c r="A59" s="7" t="s">
        <v>58</v>
      </c>
      <c r="B59" s="2" t="s">
        <v>826</v>
      </c>
      <c r="C59" s="2" t="s">
        <v>827</v>
      </c>
      <c r="D59" s="2" t="s">
        <v>828</v>
      </c>
      <c r="F59" s="3" t="s">
        <v>58</v>
      </c>
      <c r="G59" s="3" t="s">
        <v>59</v>
      </c>
      <c r="H59" s="3" t="s">
        <v>58</v>
      </c>
      <c r="I59" s="3" t="s">
        <v>58</v>
      </c>
      <c r="J59" s="3" t="s">
        <v>60</v>
      </c>
      <c r="K59" s="2" t="s">
        <v>829</v>
      </c>
      <c r="L59" s="2" t="s">
        <v>830</v>
      </c>
      <c r="M59" s="3" t="s">
        <v>831</v>
      </c>
      <c r="O59" s="3" t="s">
        <v>65</v>
      </c>
      <c r="P59" s="3" t="s">
        <v>113</v>
      </c>
      <c r="Q59" s="2" t="s">
        <v>832</v>
      </c>
      <c r="R59" s="3" t="s">
        <v>68</v>
      </c>
      <c r="S59" s="4">
        <v>1</v>
      </c>
      <c r="T59" s="4">
        <v>1</v>
      </c>
      <c r="U59" s="5" t="s">
        <v>833</v>
      </c>
      <c r="V59" s="5" t="s">
        <v>833</v>
      </c>
      <c r="W59" s="5" t="s">
        <v>782</v>
      </c>
      <c r="X59" s="5" t="s">
        <v>782</v>
      </c>
      <c r="Y59" s="4">
        <v>82</v>
      </c>
      <c r="Z59" s="4">
        <v>77</v>
      </c>
      <c r="AA59" s="4">
        <v>79</v>
      </c>
      <c r="AB59" s="4">
        <v>1</v>
      </c>
      <c r="AC59" s="4">
        <v>1</v>
      </c>
      <c r="AD59" s="4">
        <v>14</v>
      </c>
      <c r="AE59" s="4">
        <v>14</v>
      </c>
      <c r="AF59" s="4">
        <v>4</v>
      </c>
      <c r="AG59" s="4">
        <v>4</v>
      </c>
      <c r="AH59" s="4">
        <v>4</v>
      </c>
      <c r="AI59" s="4">
        <v>4</v>
      </c>
      <c r="AJ59" s="4">
        <v>11</v>
      </c>
      <c r="AK59" s="4">
        <v>11</v>
      </c>
      <c r="AL59" s="4">
        <v>0</v>
      </c>
      <c r="AM59" s="4">
        <v>0</v>
      </c>
      <c r="AN59" s="4">
        <v>0</v>
      </c>
      <c r="AO59" s="4">
        <v>0</v>
      </c>
      <c r="AP59" s="3" t="s">
        <v>58</v>
      </c>
      <c r="AQ59" s="3" t="s">
        <v>58</v>
      </c>
      <c r="AS59" s="6" t="str">
        <f>HYPERLINK("https://creighton-primo.hosted.exlibrisgroup.com/primo-explore/search?tab=default_tab&amp;search_scope=EVERYTHING&amp;vid=01CRU&amp;lang=en_US&amp;offset=0&amp;query=any,contains,991003999129702656","Catalog Record")</f>
        <v>Catalog Record</v>
      </c>
      <c r="AT59" s="6" t="str">
        <f>HYPERLINK("http://www.worldcat.org/oclc/2070870","WorldCat Record")</f>
        <v>WorldCat Record</v>
      </c>
      <c r="AU59" s="3" t="s">
        <v>834</v>
      </c>
      <c r="AV59" s="3" t="s">
        <v>835</v>
      </c>
      <c r="AW59" s="3" t="s">
        <v>836</v>
      </c>
      <c r="AX59" s="3" t="s">
        <v>836</v>
      </c>
      <c r="AY59" s="3" t="s">
        <v>837</v>
      </c>
      <c r="AZ59" s="3" t="s">
        <v>75</v>
      </c>
      <c r="BC59" s="3" t="s">
        <v>838</v>
      </c>
      <c r="BD59" s="3" t="s">
        <v>839</v>
      </c>
    </row>
    <row r="60" spans="1:56" ht="39" customHeight="1" x14ac:dyDescent="0.25">
      <c r="A60" s="7" t="s">
        <v>58</v>
      </c>
      <c r="B60" s="2" t="s">
        <v>840</v>
      </c>
      <c r="C60" s="2" t="s">
        <v>841</v>
      </c>
      <c r="D60" s="2" t="s">
        <v>842</v>
      </c>
      <c r="F60" s="3" t="s">
        <v>58</v>
      </c>
      <c r="G60" s="3" t="s">
        <v>59</v>
      </c>
      <c r="H60" s="3" t="s">
        <v>58</v>
      </c>
      <c r="I60" s="3" t="s">
        <v>58</v>
      </c>
      <c r="J60" s="3" t="s">
        <v>60</v>
      </c>
      <c r="K60" s="2" t="s">
        <v>843</v>
      </c>
      <c r="L60" s="2" t="s">
        <v>844</v>
      </c>
      <c r="M60" s="3" t="s">
        <v>845</v>
      </c>
      <c r="O60" s="3" t="s">
        <v>65</v>
      </c>
      <c r="P60" s="3" t="s">
        <v>571</v>
      </c>
      <c r="Q60" s="2" t="s">
        <v>846</v>
      </c>
      <c r="R60" s="3" t="s">
        <v>68</v>
      </c>
      <c r="S60" s="4">
        <v>2</v>
      </c>
      <c r="T60" s="4">
        <v>2</v>
      </c>
      <c r="U60" s="5" t="s">
        <v>847</v>
      </c>
      <c r="V60" s="5" t="s">
        <v>847</v>
      </c>
      <c r="W60" s="5" t="s">
        <v>782</v>
      </c>
      <c r="X60" s="5" t="s">
        <v>782</v>
      </c>
      <c r="Y60" s="4">
        <v>34</v>
      </c>
      <c r="Z60" s="4">
        <v>31</v>
      </c>
      <c r="AA60" s="4">
        <v>31</v>
      </c>
      <c r="AB60" s="4">
        <v>2</v>
      </c>
      <c r="AC60" s="4">
        <v>2</v>
      </c>
      <c r="AD60" s="4">
        <v>7</v>
      </c>
      <c r="AE60" s="4">
        <v>7</v>
      </c>
      <c r="AF60" s="4">
        <v>0</v>
      </c>
      <c r="AG60" s="4">
        <v>0</v>
      </c>
      <c r="AH60" s="4">
        <v>1</v>
      </c>
      <c r="AI60" s="4">
        <v>1</v>
      </c>
      <c r="AJ60" s="4">
        <v>5</v>
      </c>
      <c r="AK60" s="4">
        <v>5</v>
      </c>
      <c r="AL60" s="4">
        <v>1</v>
      </c>
      <c r="AM60" s="4">
        <v>1</v>
      </c>
      <c r="AN60" s="4">
        <v>0</v>
      </c>
      <c r="AO60" s="4">
        <v>0</v>
      </c>
      <c r="AP60" s="3" t="s">
        <v>58</v>
      </c>
      <c r="AQ60" s="3" t="s">
        <v>58</v>
      </c>
      <c r="AS60" s="6" t="str">
        <f>HYPERLINK("https://creighton-primo.hosted.exlibrisgroup.com/primo-explore/search?tab=default_tab&amp;search_scope=EVERYTHING&amp;vid=01CRU&amp;lang=en_US&amp;offset=0&amp;query=any,contains,991000083629702656","Catalog Record")</f>
        <v>Catalog Record</v>
      </c>
      <c r="AT60" s="6" t="str">
        <f>HYPERLINK("http://www.worldcat.org/oclc/32599","WorldCat Record")</f>
        <v>WorldCat Record</v>
      </c>
      <c r="AU60" s="3" t="s">
        <v>848</v>
      </c>
      <c r="AV60" s="3" t="s">
        <v>849</v>
      </c>
      <c r="AW60" s="3" t="s">
        <v>850</v>
      </c>
      <c r="AX60" s="3" t="s">
        <v>850</v>
      </c>
      <c r="AY60" s="3" t="s">
        <v>851</v>
      </c>
      <c r="AZ60" s="3" t="s">
        <v>75</v>
      </c>
      <c r="BC60" s="3" t="s">
        <v>852</v>
      </c>
      <c r="BD60" s="3" t="s">
        <v>853</v>
      </c>
    </row>
    <row r="61" spans="1:56" ht="39" customHeight="1" x14ac:dyDescent="0.25">
      <c r="A61" s="7" t="s">
        <v>58</v>
      </c>
      <c r="B61" s="2" t="s">
        <v>854</v>
      </c>
      <c r="C61" s="2" t="s">
        <v>855</v>
      </c>
      <c r="D61" s="2" t="s">
        <v>856</v>
      </c>
      <c r="F61" s="3" t="s">
        <v>58</v>
      </c>
      <c r="G61" s="3" t="s">
        <v>59</v>
      </c>
      <c r="H61" s="3" t="s">
        <v>58</v>
      </c>
      <c r="I61" s="3" t="s">
        <v>58</v>
      </c>
      <c r="J61" s="3" t="s">
        <v>60</v>
      </c>
      <c r="K61" s="2" t="s">
        <v>857</v>
      </c>
      <c r="L61" s="2" t="s">
        <v>858</v>
      </c>
      <c r="M61" s="3" t="s">
        <v>655</v>
      </c>
      <c r="O61" s="3" t="s">
        <v>65</v>
      </c>
      <c r="P61" s="3" t="s">
        <v>186</v>
      </c>
      <c r="R61" s="3" t="s">
        <v>68</v>
      </c>
      <c r="S61" s="4">
        <v>1</v>
      </c>
      <c r="T61" s="4">
        <v>1</v>
      </c>
      <c r="U61" s="5" t="s">
        <v>847</v>
      </c>
      <c r="V61" s="5" t="s">
        <v>847</v>
      </c>
      <c r="W61" s="5" t="s">
        <v>782</v>
      </c>
      <c r="X61" s="5" t="s">
        <v>782</v>
      </c>
      <c r="Y61" s="4">
        <v>149</v>
      </c>
      <c r="Z61" s="4">
        <v>126</v>
      </c>
      <c r="AA61" s="4">
        <v>127</v>
      </c>
      <c r="AB61" s="4">
        <v>2</v>
      </c>
      <c r="AC61" s="4">
        <v>2</v>
      </c>
      <c r="AD61" s="4">
        <v>15</v>
      </c>
      <c r="AE61" s="4">
        <v>15</v>
      </c>
      <c r="AF61" s="4">
        <v>3</v>
      </c>
      <c r="AG61" s="4">
        <v>3</v>
      </c>
      <c r="AH61" s="4">
        <v>2</v>
      </c>
      <c r="AI61" s="4">
        <v>2</v>
      </c>
      <c r="AJ61" s="4">
        <v>11</v>
      </c>
      <c r="AK61" s="4">
        <v>11</v>
      </c>
      <c r="AL61" s="4">
        <v>1</v>
      </c>
      <c r="AM61" s="4">
        <v>1</v>
      </c>
      <c r="AN61" s="4">
        <v>0</v>
      </c>
      <c r="AO61" s="4">
        <v>0</v>
      </c>
      <c r="AP61" s="3" t="s">
        <v>58</v>
      </c>
      <c r="AQ61" s="3" t="s">
        <v>58</v>
      </c>
      <c r="AS61" s="6" t="str">
        <f>HYPERLINK("https://creighton-primo.hosted.exlibrisgroup.com/primo-explore/search?tab=default_tab&amp;search_scope=EVERYTHING&amp;vid=01CRU&amp;lang=en_US&amp;offset=0&amp;query=any,contains,991002896829702656","Catalog Record")</f>
        <v>Catalog Record</v>
      </c>
      <c r="AT61" s="6" t="str">
        <f>HYPERLINK("http://www.worldcat.org/oclc/514633","WorldCat Record")</f>
        <v>WorldCat Record</v>
      </c>
      <c r="AU61" s="3" t="s">
        <v>859</v>
      </c>
      <c r="AV61" s="3" t="s">
        <v>860</v>
      </c>
      <c r="AW61" s="3" t="s">
        <v>861</v>
      </c>
      <c r="AX61" s="3" t="s">
        <v>861</v>
      </c>
      <c r="AY61" s="3" t="s">
        <v>862</v>
      </c>
      <c r="AZ61" s="3" t="s">
        <v>75</v>
      </c>
      <c r="BB61" s="3" t="s">
        <v>863</v>
      </c>
      <c r="BC61" s="3" t="s">
        <v>864</v>
      </c>
      <c r="BD61" s="3" t="s">
        <v>865</v>
      </c>
    </row>
    <row r="62" spans="1:56" ht="39" customHeight="1" x14ac:dyDescent="0.25">
      <c r="A62" s="7" t="s">
        <v>58</v>
      </c>
      <c r="B62" s="2" t="s">
        <v>866</v>
      </c>
      <c r="C62" s="2" t="s">
        <v>867</v>
      </c>
      <c r="D62" s="2" t="s">
        <v>868</v>
      </c>
      <c r="F62" s="3" t="s">
        <v>58</v>
      </c>
      <c r="G62" s="3" t="s">
        <v>59</v>
      </c>
      <c r="H62" s="3" t="s">
        <v>58</v>
      </c>
      <c r="I62" s="3" t="s">
        <v>58</v>
      </c>
      <c r="J62" s="3" t="s">
        <v>60</v>
      </c>
      <c r="K62" s="2" t="s">
        <v>869</v>
      </c>
      <c r="L62" s="2" t="s">
        <v>870</v>
      </c>
      <c r="M62" s="3" t="s">
        <v>871</v>
      </c>
      <c r="O62" s="3" t="s">
        <v>65</v>
      </c>
      <c r="P62" s="3" t="s">
        <v>492</v>
      </c>
      <c r="R62" s="3" t="s">
        <v>68</v>
      </c>
      <c r="S62" s="4">
        <v>1</v>
      </c>
      <c r="T62" s="4">
        <v>1</v>
      </c>
      <c r="U62" s="5" t="s">
        <v>847</v>
      </c>
      <c r="V62" s="5" t="s">
        <v>847</v>
      </c>
      <c r="W62" s="5" t="s">
        <v>782</v>
      </c>
      <c r="X62" s="5" t="s">
        <v>782</v>
      </c>
      <c r="Y62" s="4">
        <v>61</v>
      </c>
      <c r="Z62" s="4">
        <v>58</v>
      </c>
      <c r="AA62" s="4">
        <v>58</v>
      </c>
      <c r="AB62" s="4">
        <v>2</v>
      </c>
      <c r="AC62" s="4">
        <v>2</v>
      </c>
      <c r="AD62" s="4">
        <v>2</v>
      </c>
      <c r="AE62" s="4">
        <v>2</v>
      </c>
      <c r="AF62" s="4">
        <v>0</v>
      </c>
      <c r="AG62" s="4">
        <v>0</v>
      </c>
      <c r="AH62" s="4">
        <v>0</v>
      </c>
      <c r="AI62" s="4">
        <v>0</v>
      </c>
      <c r="AJ62" s="4">
        <v>1</v>
      </c>
      <c r="AK62" s="4">
        <v>1</v>
      </c>
      <c r="AL62" s="4">
        <v>1</v>
      </c>
      <c r="AM62" s="4">
        <v>1</v>
      </c>
      <c r="AN62" s="4">
        <v>0</v>
      </c>
      <c r="AO62" s="4">
        <v>0</v>
      </c>
      <c r="AP62" s="3" t="s">
        <v>58</v>
      </c>
      <c r="AQ62" s="3" t="s">
        <v>58</v>
      </c>
      <c r="AS62" s="6" t="str">
        <f>HYPERLINK("https://creighton-primo.hosted.exlibrisgroup.com/primo-explore/search?tab=default_tab&amp;search_scope=EVERYTHING&amp;vid=01CRU&amp;lang=en_US&amp;offset=0&amp;query=any,contains,991003388269702656","Catalog Record")</f>
        <v>Catalog Record</v>
      </c>
      <c r="AT62" s="6" t="str">
        <f>HYPERLINK("http://www.worldcat.org/oclc/924997","WorldCat Record")</f>
        <v>WorldCat Record</v>
      </c>
      <c r="AU62" s="3" t="s">
        <v>872</v>
      </c>
      <c r="AV62" s="3" t="s">
        <v>873</v>
      </c>
      <c r="AW62" s="3" t="s">
        <v>874</v>
      </c>
      <c r="AX62" s="3" t="s">
        <v>874</v>
      </c>
      <c r="AY62" s="3" t="s">
        <v>875</v>
      </c>
      <c r="AZ62" s="3" t="s">
        <v>75</v>
      </c>
      <c r="BC62" s="3" t="s">
        <v>876</v>
      </c>
      <c r="BD62" s="3" t="s">
        <v>877</v>
      </c>
    </row>
    <row r="63" spans="1:56" ht="39" customHeight="1" x14ac:dyDescent="0.25">
      <c r="A63" s="7" t="s">
        <v>58</v>
      </c>
      <c r="B63" s="2" t="s">
        <v>878</v>
      </c>
      <c r="C63" s="2" t="s">
        <v>879</v>
      </c>
      <c r="D63" s="2" t="s">
        <v>880</v>
      </c>
      <c r="F63" s="3" t="s">
        <v>58</v>
      </c>
      <c r="G63" s="3" t="s">
        <v>59</v>
      </c>
      <c r="H63" s="3" t="s">
        <v>58</v>
      </c>
      <c r="I63" s="3" t="s">
        <v>58</v>
      </c>
      <c r="J63" s="3" t="s">
        <v>60</v>
      </c>
      <c r="L63" s="2" t="s">
        <v>881</v>
      </c>
      <c r="M63" s="3" t="s">
        <v>144</v>
      </c>
      <c r="O63" s="3" t="s">
        <v>65</v>
      </c>
      <c r="P63" s="3" t="s">
        <v>66</v>
      </c>
      <c r="Q63" s="2" t="s">
        <v>882</v>
      </c>
      <c r="R63" s="3" t="s">
        <v>68</v>
      </c>
      <c r="S63" s="4">
        <v>2</v>
      </c>
      <c r="T63" s="4">
        <v>2</v>
      </c>
      <c r="U63" s="5" t="s">
        <v>847</v>
      </c>
      <c r="V63" s="5" t="s">
        <v>847</v>
      </c>
      <c r="W63" s="5" t="s">
        <v>782</v>
      </c>
      <c r="X63" s="5" t="s">
        <v>782</v>
      </c>
      <c r="Y63" s="4">
        <v>89</v>
      </c>
      <c r="Z63" s="4">
        <v>75</v>
      </c>
      <c r="AA63" s="4">
        <v>198</v>
      </c>
      <c r="AB63" s="4">
        <v>2</v>
      </c>
      <c r="AC63" s="4">
        <v>2</v>
      </c>
      <c r="AD63" s="4">
        <v>3</v>
      </c>
      <c r="AE63" s="4">
        <v>6</v>
      </c>
      <c r="AF63" s="4">
        <v>0</v>
      </c>
      <c r="AG63" s="4">
        <v>2</v>
      </c>
      <c r="AH63" s="4">
        <v>0</v>
      </c>
      <c r="AI63" s="4">
        <v>2</v>
      </c>
      <c r="AJ63" s="4">
        <v>2</v>
      </c>
      <c r="AK63" s="4">
        <v>2</v>
      </c>
      <c r="AL63" s="4">
        <v>1</v>
      </c>
      <c r="AM63" s="4">
        <v>1</v>
      </c>
      <c r="AN63" s="4">
        <v>0</v>
      </c>
      <c r="AO63" s="4">
        <v>0</v>
      </c>
      <c r="AP63" s="3" t="s">
        <v>58</v>
      </c>
      <c r="AQ63" s="3" t="s">
        <v>58</v>
      </c>
      <c r="AS63" s="6" t="str">
        <f>HYPERLINK("https://creighton-primo.hosted.exlibrisgroup.com/primo-explore/search?tab=default_tab&amp;search_scope=EVERYTHING&amp;vid=01CRU&amp;lang=en_US&amp;offset=0&amp;query=any,contains,991004625319702656","Catalog Record")</f>
        <v>Catalog Record</v>
      </c>
      <c r="AT63" s="6" t="str">
        <f>HYPERLINK("http://www.worldcat.org/oclc/4334636","WorldCat Record")</f>
        <v>WorldCat Record</v>
      </c>
      <c r="AU63" s="3" t="s">
        <v>883</v>
      </c>
      <c r="AV63" s="3" t="s">
        <v>884</v>
      </c>
      <c r="AW63" s="3" t="s">
        <v>885</v>
      </c>
      <c r="AX63" s="3" t="s">
        <v>885</v>
      </c>
      <c r="AY63" s="3" t="s">
        <v>886</v>
      </c>
      <c r="AZ63" s="3" t="s">
        <v>75</v>
      </c>
      <c r="BB63" s="3" t="s">
        <v>887</v>
      </c>
      <c r="BC63" s="3" t="s">
        <v>888</v>
      </c>
      <c r="BD63" s="3" t="s">
        <v>889</v>
      </c>
    </row>
    <row r="64" spans="1:56" ht="39" customHeight="1" x14ac:dyDescent="0.25">
      <c r="A64" s="7" t="s">
        <v>58</v>
      </c>
      <c r="B64" s="2" t="s">
        <v>890</v>
      </c>
      <c r="C64" s="2" t="s">
        <v>891</v>
      </c>
      <c r="D64" s="2" t="s">
        <v>892</v>
      </c>
      <c r="F64" s="3" t="s">
        <v>58</v>
      </c>
      <c r="G64" s="3" t="s">
        <v>59</v>
      </c>
      <c r="H64" s="3" t="s">
        <v>58</v>
      </c>
      <c r="I64" s="3" t="s">
        <v>58</v>
      </c>
      <c r="J64" s="3" t="s">
        <v>60</v>
      </c>
      <c r="K64" s="2" t="s">
        <v>893</v>
      </c>
      <c r="L64" s="2" t="s">
        <v>894</v>
      </c>
      <c r="M64" s="3" t="s">
        <v>682</v>
      </c>
      <c r="O64" s="3" t="s">
        <v>65</v>
      </c>
      <c r="P64" s="3" t="s">
        <v>186</v>
      </c>
      <c r="R64" s="3" t="s">
        <v>68</v>
      </c>
      <c r="S64" s="4">
        <v>2</v>
      </c>
      <c r="T64" s="4">
        <v>2</v>
      </c>
      <c r="U64" s="5" t="s">
        <v>895</v>
      </c>
      <c r="V64" s="5" t="s">
        <v>895</v>
      </c>
      <c r="W64" s="5" t="s">
        <v>782</v>
      </c>
      <c r="X64" s="5" t="s">
        <v>782</v>
      </c>
      <c r="Y64" s="4">
        <v>95</v>
      </c>
      <c r="Z64" s="4">
        <v>85</v>
      </c>
      <c r="AA64" s="4">
        <v>92</v>
      </c>
      <c r="AB64" s="4">
        <v>1</v>
      </c>
      <c r="AC64" s="4">
        <v>1</v>
      </c>
      <c r="AD64" s="4">
        <v>13</v>
      </c>
      <c r="AE64" s="4">
        <v>14</v>
      </c>
      <c r="AF64" s="4">
        <v>3</v>
      </c>
      <c r="AG64" s="4">
        <v>3</v>
      </c>
      <c r="AH64" s="4">
        <v>4</v>
      </c>
      <c r="AI64" s="4">
        <v>4</v>
      </c>
      <c r="AJ64" s="4">
        <v>10</v>
      </c>
      <c r="AK64" s="4">
        <v>11</v>
      </c>
      <c r="AL64" s="4">
        <v>0</v>
      </c>
      <c r="AM64" s="4">
        <v>0</v>
      </c>
      <c r="AN64" s="4">
        <v>0</v>
      </c>
      <c r="AO64" s="4">
        <v>0</v>
      </c>
      <c r="AP64" s="3" t="s">
        <v>58</v>
      </c>
      <c r="AQ64" s="3" t="s">
        <v>58</v>
      </c>
      <c r="AS64" s="6" t="str">
        <f>HYPERLINK("https://creighton-primo.hosted.exlibrisgroup.com/primo-explore/search?tab=default_tab&amp;search_scope=EVERYTHING&amp;vid=01CRU&amp;lang=en_US&amp;offset=0&amp;query=any,contains,991004216459702656","Catalog Record")</f>
        <v>Catalog Record</v>
      </c>
      <c r="AT64" s="6" t="str">
        <f>HYPERLINK("http://www.worldcat.org/oclc/2696734","WorldCat Record")</f>
        <v>WorldCat Record</v>
      </c>
      <c r="AU64" s="3" t="s">
        <v>896</v>
      </c>
      <c r="AV64" s="3" t="s">
        <v>897</v>
      </c>
      <c r="AW64" s="3" t="s">
        <v>898</v>
      </c>
      <c r="AX64" s="3" t="s">
        <v>898</v>
      </c>
      <c r="AY64" s="3" t="s">
        <v>899</v>
      </c>
      <c r="AZ64" s="3" t="s">
        <v>75</v>
      </c>
      <c r="BC64" s="3" t="s">
        <v>900</v>
      </c>
      <c r="BD64" s="3" t="s">
        <v>901</v>
      </c>
    </row>
    <row r="65" spans="1:56" ht="39" customHeight="1" x14ac:dyDescent="0.25">
      <c r="A65" s="7" t="s">
        <v>58</v>
      </c>
      <c r="B65" s="2" t="s">
        <v>902</v>
      </c>
      <c r="C65" s="2" t="s">
        <v>903</v>
      </c>
      <c r="D65" s="2" t="s">
        <v>904</v>
      </c>
      <c r="F65" s="3" t="s">
        <v>58</v>
      </c>
      <c r="G65" s="3" t="s">
        <v>59</v>
      </c>
      <c r="H65" s="3" t="s">
        <v>58</v>
      </c>
      <c r="I65" s="3" t="s">
        <v>58</v>
      </c>
      <c r="J65" s="3" t="s">
        <v>60</v>
      </c>
      <c r="K65" s="2" t="s">
        <v>905</v>
      </c>
      <c r="L65" s="2" t="s">
        <v>906</v>
      </c>
      <c r="M65" s="3" t="s">
        <v>389</v>
      </c>
      <c r="O65" s="3" t="s">
        <v>65</v>
      </c>
      <c r="P65" s="3" t="s">
        <v>186</v>
      </c>
      <c r="R65" s="3" t="s">
        <v>68</v>
      </c>
      <c r="S65" s="4">
        <v>4</v>
      </c>
      <c r="T65" s="4">
        <v>4</v>
      </c>
      <c r="U65" s="5" t="s">
        <v>895</v>
      </c>
      <c r="V65" s="5" t="s">
        <v>895</v>
      </c>
      <c r="W65" s="5" t="s">
        <v>907</v>
      </c>
      <c r="X65" s="5" t="s">
        <v>907</v>
      </c>
      <c r="Y65" s="4">
        <v>162</v>
      </c>
      <c r="Z65" s="4">
        <v>144</v>
      </c>
      <c r="AA65" s="4">
        <v>149</v>
      </c>
      <c r="AB65" s="4">
        <v>2</v>
      </c>
      <c r="AC65" s="4">
        <v>2</v>
      </c>
      <c r="AD65" s="4">
        <v>19</v>
      </c>
      <c r="AE65" s="4">
        <v>19</v>
      </c>
      <c r="AF65" s="4">
        <v>3</v>
      </c>
      <c r="AG65" s="4">
        <v>3</v>
      </c>
      <c r="AH65" s="4">
        <v>4</v>
      </c>
      <c r="AI65" s="4">
        <v>4</v>
      </c>
      <c r="AJ65" s="4">
        <v>14</v>
      </c>
      <c r="AK65" s="4">
        <v>14</v>
      </c>
      <c r="AL65" s="4">
        <v>1</v>
      </c>
      <c r="AM65" s="4">
        <v>1</v>
      </c>
      <c r="AN65" s="4">
        <v>0</v>
      </c>
      <c r="AO65" s="4">
        <v>0</v>
      </c>
      <c r="AP65" s="3" t="s">
        <v>58</v>
      </c>
      <c r="AQ65" s="3" t="s">
        <v>132</v>
      </c>
      <c r="AR65" s="6" t="str">
        <f>HYPERLINK("http://catalog.hathitrust.org/Record/009974587","HathiTrust Record")</f>
        <v>HathiTrust Record</v>
      </c>
      <c r="AS65" s="6" t="str">
        <f>HYPERLINK("https://creighton-primo.hosted.exlibrisgroup.com/primo-explore/search?tab=default_tab&amp;search_scope=EVERYTHING&amp;vid=01CRU&amp;lang=en_US&amp;offset=0&amp;query=any,contains,991002765159702656","Catalog Record")</f>
        <v>Catalog Record</v>
      </c>
      <c r="AT65" s="6" t="str">
        <f>HYPERLINK("http://www.worldcat.org/oclc/432794","WorldCat Record")</f>
        <v>WorldCat Record</v>
      </c>
      <c r="AU65" s="3" t="s">
        <v>908</v>
      </c>
      <c r="AV65" s="3" t="s">
        <v>909</v>
      </c>
      <c r="AW65" s="3" t="s">
        <v>910</v>
      </c>
      <c r="AX65" s="3" t="s">
        <v>910</v>
      </c>
      <c r="AY65" s="3" t="s">
        <v>911</v>
      </c>
      <c r="AZ65" s="3" t="s">
        <v>75</v>
      </c>
      <c r="BC65" s="3" t="s">
        <v>912</v>
      </c>
      <c r="BD65" s="3" t="s">
        <v>913</v>
      </c>
    </row>
    <row r="66" spans="1:56" ht="39" customHeight="1" x14ac:dyDescent="0.25">
      <c r="A66" s="7" t="s">
        <v>58</v>
      </c>
      <c r="B66" s="2" t="s">
        <v>914</v>
      </c>
      <c r="C66" s="2" t="s">
        <v>915</v>
      </c>
      <c r="D66" s="2" t="s">
        <v>916</v>
      </c>
      <c r="F66" s="3" t="s">
        <v>58</v>
      </c>
      <c r="G66" s="3" t="s">
        <v>59</v>
      </c>
      <c r="H66" s="3" t="s">
        <v>58</v>
      </c>
      <c r="I66" s="3" t="s">
        <v>58</v>
      </c>
      <c r="J66" s="3" t="s">
        <v>60</v>
      </c>
      <c r="K66" s="2" t="s">
        <v>917</v>
      </c>
      <c r="L66" s="2" t="s">
        <v>918</v>
      </c>
      <c r="M66" s="3" t="s">
        <v>98</v>
      </c>
      <c r="O66" s="3" t="s">
        <v>65</v>
      </c>
      <c r="P66" s="3" t="s">
        <v>186</v>
      </c>
      <c r="R66" s="3" t="s">
        <v>68</v>
      </c>
      <c r="S66" s="4">
        <v>3</v>
      </c>
      <c r="T66" s="4">
        <v>3</v>
      </c>
      <c r="U66" s="5" t="s">
        <v>919</v>
      </c>
      <c r="V66" s="5" t="s">
        <v>919</v>
      </c>
      <c r="W66" s="5" t="s">
        <v>805</v>
      </c>
      <c r="X66" s="5" t="s">
        <v>805</v>
      </c>
      <c r="Y66" s="4">
        <v>259</v>
      </c>
      <c r="Z66" s="4">
        <v>228</v>
      </c>
      <c r="AA66" s="4">
        <v>240</v>
      </c>
      <c r="AB66" s="4">
        <v>4</v>
      </c>
      <c r="AC66" s="4">
        <v>4</v>
      </c>
      <c r="AD66" s="4">
        <v>29</v>
      </c>
      <c r="AE66" s="4">
        <v>29</v>
      </c>
      <c r="AF66" s="4">
        <v>8</v>
      </c>
      <c r="AG66" s="4">
        <v>8</v>
      </c>
      <c r="AH66" s="4">
        <v>8</v>
      </c>
      <c r="AI66" s="4">
        <v>8</v>
      </c>
      <c r="AJ66" s="4">
        <v>23</v>
      </c>
      <c r="AK66" s="4">
        <v>23</v>
      </c>
      <c r="AL66" s="4">
        <v>1</v>
      </c>
      <c r="AM66" s="4">
        <v>1</v>
      </c>
      <c r="AN66" s="4">
        <v>0</v>
      </c>
      <c r="AO66" s="4">
        <v>0</v>
      </c>
      <c r="AP66" s="3" t="s">
        <v>58</v>
      </c>
      <c r="AQ66" s="3" t="s">
        <v>58</v>
      </c>
      <c r="AS66" s="6" t="str">
        <f>HYPERLINK("https://creighton-primo.hosted.exlibrisgroup.com/primo-explore/search?tab=default_tab&amp;search_scope=EVERYTHING&amp;vid=01CRU&amp;lang=en_US&amp;offset=0&amp;query=any,contains,991002892989702656","Catalog Record")</f>
        <v>Catalog Record</v>
      </c>
      <c r="AT66" s="6" t="str">
        <f>HYPERLINK("http://www.worldcat.org/oclc/512536","WorldCat Record")</f>
        <v>WorldCat Record</v>
      </c>
      <c r="AU66" s="3" t="s">
        <v>920</v>
      </c>
      <c r="AV66" s="3" t="s">
        <v>921</v>
      </c>
      <c r="AW66" s="3" t="s">
        <v>922</v>
      </c>
      <c r="AX66" s="3" t="s">
        <v>922</v>
      </c>
      <c r="AY66" s="3" t="s">
        <v>923</v>
      </c>
      <c r="AZ66" s="3" t="s">
        <v>75</v>
      </c>
      <c r="BC66" s="3" t="s">
        <v>924</v>
      </c>
      <c r="BD66" s="3" t="s">
        <v>925</v>
      </c>
    </row>
    <row r="67" spans="1:56" ht="39" customHeight="1" x14ac:dyDescent="0.25">
      <c r="A67" s="7" t="s">
        <v>58</v>
      </c>
      <c r="B67" s="2" t="s">
        <v>926</v>
      </c>
      <c r="C67" s="2" t="s">
        <v>927</v>
      </c>
      <c r="D67" s="2" t="s">
        <v>928</v>
      </c>
      <c r="F67" s="3" t="s">
        <v>58</v>
      </c>
      <c r="G67" s="3" t="s">
        <v>59</v>
      </c>
      <c r="H67" s="3" t="s">
        <v>58</v>
      </c>
      <c r="I67" s="3" t="s">
        <v>58</v>
      </c>
      <c r="J67" s="3" t="s">
        <v>60</v>
      </c>
      <c r="K67" s="2" t="s">
        <v>917</v>
      </c>
      <c r="L67" s="2" t="s">
        <v>929</v>
      </c>
      <c r="M67" s="3" t="s">
        <v>682</v>
      </c>
      <c r="O67" s="3" t="s">
        <v>65</v>
      </c>
      <c r="P67" s="3" t="s">
        <v>186</v>
      </c>
      <c r="R67" s="3" t="s">
        <v>68</v>
      </c>
      <c r="S67" s="4">
        <v>3</v>
      </c>
      <c r="T67" s="4">
        <v>3</v>
      </c>
      <c r="U67" s="5" t="s">
        <v>919</v>
      </c>
      <c r="V67" s="5" t="s">
        <v>919</v>
      </c>
      <c r="W67" s="5" t="s">
        <v>805</v>
      </c>
      <c r="X67" s="5" t="s">
        <v>805</v>
      </c>
      <c r="Y67" s="4">
        <v>334</v>
      </c>
      <c r="Z67" s="4">
        <v>306</v>
      </c>
      <c r="AA67" s="4">
        <v>321</v>
      </c>
      <c r="AB67" s="4">
        <v>4</v>
      </c>
      <c r="AC67" s="4">
        <v>4</v>
      </c>
      <c r="AD67" s="4">
        <v>34</v>
      </c>
      <c r="AE67" s="4">
        <v>35</v>
      </c>
      <c r="AF67" s="4">
        <v>12</v>
      </c>
      <c r="AG67" s="4">
        <v>13</v>
      </c>
      <c r="AH67" s="4">
        <v>8</v>
      </c>
      <c r="AI67" s="4">
        <v>8</v>
      </c>
      <c r="AJ67" s="4">
        <v>24</v>
      </c>
      <c r="AK67" s="4">
        <v>25</v>
      </c>
      <c r="AL67" s="4">
        <v>2</v>
      </c>
      <c r="AM67" s="4">
        <v>2</v>
      </c>
      <c r="AN67" s="4">
        <v>0</v>
      </c>
      <c r="AO67" s="4">
        <v>0</v>
      </c>
      <c r="AP67" s="3" t="s">
        <v>58</v>
      </c>
      <c r="AQ67" s="3" t="s">
        <v>132</v>
      </c>
      <c r="AR67" s="6" t="str">
        <f>HYPERLINK("http://catalog.hathitrust.org/Record/009814465","HathiTrust Record")</f>
        <v>HathiTrust Record</v>
      </c>
      <c r="AS67" s="6" t="str">
        <f>HYPERLINK("https://creighton-primo.hosted.exlibrisgroup.com/primo-explore/search?tab=default_tab&amp;search_scope=EVERYTHING&amp;vid=01CRU&amp;lang=en_US&amp;offset=0&amp;query=any,contains,991003329909702656","Catalog Record")</f>
        <v>Catalog Record</v>
      </c>
      <c r="AT67" s="6" t="str">
        <f>HYPERLINK("http://www.worldcat.org/oclc/860311","WorldCat Record")</f>
        <v>WorldCat Record</v>
      </c>
      <c r="AU67" s="3" t="s">
        <v>930</v>
      </c>
      <c r="AV67" s="3" t="s">
        <v>931</v>
      </c>
      <c r="AW67" s="3" t="s">
        <v>932</v>
      </c>
      <c r="AX67" s="3" t="s">
        <v>932</v>
      </c>
      <c r="AY67" s="3" t="s">
        <v>933</v>
      </c>
      <c r="AZ67" s="3" t="s">
        <v>75</v>
      </c>
      <c r="BC67" s="3" t="s">
        <v>934</v>
      </c>
      <c r="BD67" s="3" t="s">
        <v>935</v>
      </c>
    </row>
    <row r="68" spans="1:56" ht="39" customHeight="1" x14ac:dyDescent="0.25">
      <c r="A68" s="7" t="s">
        <v>58</v>
      </c>
      <c r="B68" s="2" t="s">
        <v>936</v>
      </c>
      <c r="C68" s="2" t="s">
        <v>937</v>
      </c>
      <c r="D68" s="2" t="s">
        <v>938</v>
      </c>
      <c r="F68" s="3" t="s">
        <v>58</v>
      </c>
      <c r="G68" s="3" t="s">
        <v>59</v>
      </c>
      <c r="H68" s="3" t="s">
        <v>58</v>
      </c>
      <c r="I68" s="3" t="s">
        <v>58</v>
      </c>
      <c r="J68" s="3" t="s">
        <v>60</v>
      </c>
      <c r="K68" s="2" t="s">
        <v>917</v>
      </c>
      <c r="L68" s="2" t="s">
        <v>939</v>
      </c>
      <c r="M68" s="3" t="s">
        <v>389</v>
      </c>
      <c r="O68" s="3" t="s">
        <v>65</v>
      </c>
      <c r="P68" s="3" t="s">
        <v>66</v>
      </c>
      <c r="R68" s="3" t="s">
        <v>68</v>
      </c>
      <c r="S68" s="4">
        <v>3</v>
      </c>
      <c r="T68" s="4">
        <v>3</v>
      </c>
      <c r="U68" s="5" t="s">
        <v>940</v>
      </c>
      <c r="V68" s="5" t="s">
        <v>940</v>
      </c>
      <c r="W68" s="5" t="s">
        <v>907</v>
      </c>
      <c r="X68" s="5" t="s">
        <v>907</v>
      </c>
      <c r="Y68" s="4">
        <v>45</v>
      </c>
      <c r="Z68" s="4">
        <v>24</v>
      </c>
      <c r="AA68" s="4">
        <v>99</v>
      </c>
      <c r="AB68" s="4">
        <v>1</v>
      </c>
      <c r="AC68" s="4">
        <v>2</v>
      </c>
      <c r="AD68" s="4">
        <v>4</v>
      </c>
      <c r="AE68" s="4">
        <v>13</v>
      </c>
      <c r="AF68" s="4">
        <v>0</v>
      </c>
      <c r="AG68" s="4">
        <v>1</v>
      </c>
      <c r="AH68" s="4">
        <v>2</v>
      </c>
      <c r="AI68" s="4">
        <v>3</v>
      </c>
      <c r="AJ68" s="4">
        <v>3</v>
      </c>
      <c r="AK68" s="4">
        <v>11</v>
      </c>
      <c r="AL68" s="4">
        <v>0</v>
      </c>
      <c r="AM68" s="4">
        <v>0</v>
      </c>
      <c r="AN68" s="4">
        <v>0</v>
      </c>
      <c r="AO68" s="4">
        <v>0</v>
      </c>
      <c r="AP68" s="3" t="s">
        <v>58</v>
      </c>
      <c r="AQ68" s="3" t="s">
        <v>58</v>
      </c>
      <c r="AS68" s="6" t="str">
        <f>HYPERLINK("https://creighton-primo.hosted.exlibrisgroup.com/primo-explore/search?tab=default_tab&amp;search_scope=EVERYTHING&amp;vid=01CRU&amp;lang=en_US&amp;offset=0&amp;query=any,contains,991000589939702656","Catalog Record")</f>
        <v>Catalog Record</v>
      </c>
      <c r="AT68" s="6" t="str">
        <f>HYPERLINK("http://www.worldcat.org/oclc/96574","WorldCat Record")</f>
        <v>WorldCat Record</v>
      </c>
      <c r="AU68" s="3" t="s">
        <v>941</v>
      </c>
      <c r="AV68" s="3" t="s">
        <v>942</v>
      </c>
      <c r="AW68" s="3" t="s">
        <v>943</v>
      </c>
      <c r="AX68" s="3" t="s">
        <v>943</v>
      </c>
      <c r="AY68" s="3" t="s">
        <v>944</v>
      </c>
      <c r="AZ68" s="3" t="s">
        <v>75</v>
      </c>
      <c r="BB68" s="3" t="s">
        <v>945</v>
      </c>
      <c r="BC68" s="3" t="s">
        <v>946</v>
      </c>
      <c r="BD68" s="3" t="s">
        <v>947</v>
      </c>
    </row>
    <row r="69" spans="1:56" ht="39" customHeight="1" x14ac:dyDescent="0.25">
      <c r="A69" s="7" t="s">
        <v>58</v>
      </c>
      <c r="B69" s="2" t="s">
        <v>948</v>
      </c>
      <c r="C69" s="2" t="s">
        <v>949</v>
      </c>
      <c r="D69" s="2" t="s">
        <v>950</v>
      </c>
      <c r="F69" s="3" t="s">
        <v>58</v>
      </c>
      <c r="G69" s="3" t="s">
        <v>59</v>
      </c>
      <c r="H69" s="3" t="s">
        <v>58</v>
      </c>
      <c r="I69" s="3" t="s">
        <v>58</v>
      </c>
      <c r="J69" s="3" t="s">
        <v>60</v>
      </c>
      <c r="K69" s="2" t="s">
        <v>951</v>
      </c>
      <c r="L69" s="2" t="s">
        <v>952</v>
      </c>
      <c r="M69" s="3" t="s">
        <v>953</v>
      </c>
      <c r="O69" s="3" t="s">
        <v>65</v>
      </c>
      <c r="P69" s="3" t="s">
        <v>954</v>
      </c>
      <c r="R69" s="3" t="s">
        <v>68</v>
      </c>
      <c r="S69" s="4">
        <v>4</v>
      </c>
      <c r="T69" s="4">
        <v>4</v>
      </c>
      <c r="U69" s="5" t="s">
        <v>895</v>
      </c>
      <c r="V69" s="5" t="s">
        <v>895</v>
      </c>
      <c r="W69" s="5" t="s">
        <v>782</v>
      </c>
      <c r="X69" s="5" t="s">
        <v>782</v>
      </c>
      <c r="Y69" s="4">
        <v>155</v>
      </c>
      <c r="Z69" s="4">
        <v>72</v>
      </c>
      <c r="AA69" s="4">
        <v>72</v>
      </c>
      <c r="AB69" s="4">
        <v>1</v>
      </c>
      <c r="AC69" s="4">
        <v>1</v>
      </c>
      <c r="AD69" s="4">
        <v>3</v>
      </c>
      <c r="AE69" s="4">
        <v>3</v>
      </c>
      <c r="AF69" s="4">
        <v>1</v>
      </c>
      <c r="AG69" s="4">
        <v>1</v>
      </c>
      <c r="AH69" s="4">
        <v>0</v>
      </c>
      <c r="AI69" s="4">
        <v>0</v>
      </c>
      <c r="AJ69" s="4">
        <v>3</v>
      </c>
      <c r="AK69" s="4">
        <v>3</v>
      </c>
      <c r="AL69" s="4">
        <v>0</v>
      </c>
      <c r="AM69" s="4">
        <v>0</v>
      </c>
      <c r="AN69" s="4">
        <v>0</v>
      </c>
      <c r="AO69" s="4">
        <v>0</v>
      </c>
      <c r="AP69" s="3" t="s">
        <v>58</v>
      </c>
      <c r="AQ69" s="3" t="s">
        <v>58</v>
      </c>
      <c r="AS69" s="6" t="str">
        <f>HYPERLINK("https://creighton-primo.hosted.exlibrisgroup.com/primo-explore/search?tab=default_tab&amp;search_scope=EVERYTHING&amp;vid=01CRU&amp;lang=en_US&amp;offset=0&amp;query=any,contains,991003816929702656","Catalog Record")</f>
        <v>Catalog Record</v>
      </c>
      <c r="AT69" s="6" t="str">
        <f>HYPERLINK("http://www.worldcat.org/oclc/1550680","WorldCat Record")</f>
        <v>WorldCat Record</v>
      </c>
      <c r="AU69" s="3" t="s">
        <v>955</v>
      </c>
      <c r="AV69" s="3" t="s">
        <v>956</v>
      </c>
      <c r="AW69" s="3" t="s">
        <v>957</v>
      </c>
      <c r="AX69" s="3" t="s">
        <v>957</v>
      </c>
      <c r="AY69" s="3" t="s">
        <v>958</v>
      </c>
      <c r="AZ69" s="3" t="s">
        <v>75</v>
      </c>
      <c r="BC69" s="3" t="s">
        <v>959</v>
      </c>
      <c r="BD69" s="3" t="s">
        <v>960</v>
      </c>
    </row>
    <row r="70" spans="1:56" ht="39" customHeight="1" x14ac:dyDescent="0.25">
      <c r="A70" s="7" t="s">
        <v>58</v>
      </c>
      <c r="B70" s="2" t="s">
        <v>961</v>
      </c>
      <c r="C70" s="2" t="s">
        <v>962</v>
      </c>
      <c r="D70" s="2" t="s">
        <v>963</v>
      </c>
      <c r="F70" s="3" t="s">
        <v>58</v>
      </c>
      <c r="G70" s="3" t="s">
        <v>59</v>
      </c>
      <c r="H70" s="3" t="s">
        <v>58</v>
      </c>
      <c r="I70" s="3" t="s">
        <v>58</v>
      </c>
      <c r="J70" s="3" t="s">
        <v>60</v>
      </c>
      <c r="K70" s="2" t="s">
        <v>964</v>
      </c>
      <c r="L70" s="2" t="s">
        <v>965</v>
      </c>
      <c r="M70" s="3" t="s">
        <v>966</v>
      </c>
      <c r="O70" s="3" t="s">
        <v>65</v>
      </c>
      <c r="P70" s="3" t="s">
        <v>967</v>
      </c>
      <c r="R70" s="3" t="s">
        <v>68</v>
      </c>
      <c r="S70" s="4">
        <v>1</v>
      </c>
      <c r="T70" s="4">
        <v>1</v>
      </c>
      <c r="U70" s="5" t="s">
        <v>968</v>
      </c>
      <c r="V70" s="5" t="s">
        <v>968</v>
      </c>
      <c r="W70" s="5" t="s">
        <v>968</v>
      </c>
      <c r="X70" s="5" t="s">
        <v>968</v>
      </c>
      <c r="Y70" s="4">
        <v>62</v>
      </c>
      <c r="Z70" s="4">
        <v>54</v>
      </c>
      <c r="AA70" s="4">
        <v>59</v>
      </c>
      <c r="AB70" s="4">
        <v>2</v>
      </c>
      <c r="AC70" s="4">
        <v>2</v>
      </c>
      <c r="AD70" s="4">
        <v>4</v>
      </c>
      <c r="AE70" s="4">
        <v>4</v>
      </c>
      <c r="AF70" s="4">
        <v>1</v>
      </c>
      <c r="AG70" s="4">
        <v>1</v>
      </c>
      <c r="AH70" s="4">
        <v>1</v>
      </c>
      <c r="AI70" s="4">
        <v>1</v>
      </c>
      <c r="AJ70" s="4">
        <v>1</v>
      </c>
      <c r="AK70" s="4">
        <v>1</v>
      </c>
      <c r="AL70" s="4">
        <v>1</v>
      </c>
      <c r="AM70" s="4">
        <v>1</v>
      </c>
      <c r="AN70" s="4">
        <v>0</v>
      </c>
      <c r="AO70" s="4">
        <v>0</v>
      </c>
      <c r="AP70" s="3" t="s">
        <v>58</v>
      </c>
      <c r="AQ70" s="3" t="s">
        <v>58</v>
      </c>
      <c r="AS70" s="6" t="str">
        <f>HYPERLINK("https://creighton-primo.hosted.exlibrisgroup.com/primo-explore/search?tab=default_tab&amp;search_scope=EVERYTHING&amp;vid=01CRU&amp;lang=en_US&amp;offset=0&amp;query=any,contains,991005179789702656","Catalog Record")</f>
        <v>Catalog Record</v>
      </c>
      <c r="AT70" s="6" t="str">
        <f>HYPERLINK("http://www.worldcat.org/oclc/28709891","WorldCat Record")</f>
        <v>WorldCat Record</v>
      </c>
      <c r="AU70" s="3" t="s">
        <v>969</v>
      </c>
      <c r="AV70" s="3" t="s">
        <v>970</v>
      </c>
      <c r="AW70" s="3" t="s">
        <v>971</v>
      </c>
      <c r="AX70" s="3" t="s">
        <v>971</v>
      </c>
      <c r="AY70" s="3" t="s">
        <v>972</v>
      </c>
      <c r="AZ70" s="3" t="s">
        <v>75</v>
      </c>
      <c r="BB70" s="3" t="s">
        <v>973</v>
      </c>
      <c r="BC70" s="3" t="s">
        <v>974</v>
      </c>
      <c r="BD70" s="3" t="s">
        <v>975</v>
      </c>
    </row>
    <row r="71" spans="1:56" ht="39" customHeight="1" x14ac:dyDescent="0.25">
      <c r="A71" s="7" t="s">
        <v>58</v>
      </c>
      <c r="B71" s="2" t="s">
        <v>976</v>
      </c>
      <c r="C71" s="2" t="s">
        <v>977</v>
      </c>
      <c r="D71" s="2" t="s">
        <v>978</v>
      </c>
      <c r="F71" s="3" t="s">
        <v>58</v>
      </c>
      <c r="G71" s="3" t="s">
        <v>59</v>
      </c>
      <c r="H71" s="3" t="s">
        <v>58</v>
      </c>
      <c r="I71" s="3" t="s">
        <v>58</v>
      </c>
      <c r="J71" s="3" t="s">
        <v>60</v>
      </c>
      <c r="L71" s="2" t="s">
        <v>979</v>
      </c>
      <c r="M71" s="3" t="s">
        <v>157</v>
      </c>
      <c r="O71" s="3" t="s">
        <v>65</v>
      </c>
      <c r="P71" s="3" t="s">
        <v>274</v>
      </c>
      <c r="R71" s="3" t="s">
        <v>68</v>
      </c>
      <c r="S71" s="4">
        <v>3</v>
      </c>
      <c r="T71" s="4">
        <v>3</v>
      </c>
      <c r="U71" s="5" t="s">
        <v>980</v>
      </c>
      <c r="V71" s="5" t="s">
        <v>980</v>
      </c>
      <c r="W71" s="5" t="s">
        <v>782</v>
      </c>
      <c r="X71" s="5" t="s">
        <v>782</v>
      </c>
      <c r="Y71" s="4">
        <v>356</v>
      </c>
      <c r="Z71" s="4">
        <v>306</v>
      </c>
      <c r="AA71" s="4">
        <v>311</v>
      </c>
      <c r="AB71" s="4">
        <v>3</v>
      </c>
      <c r="AC71" s="4">
        <v>3</v>
      </c>
      <c r="AD71" s="4">
        <v>22</v>
      </c>
      <c r="AE71" s="4">
        <v>22</v>
      </c>
      <c r="AF71" s="4">
        <v>9</v>
      </c>
      <c r="AG71" s="4">
        <v>9</v>
      </c>
      <c r="AH71" s="4">
        <v>4</v>
      </c>
      <c r="AI71" s="4">
        <v>4</v>
      </c>
      <c r="AJ71" s="4">
        <v>11</v>
      </c>
      <c r="AK71" s="4">
        <v>11</v>
      </c>
      <c r="AL71" s="4">
        <v>2</v>
      </c>
      <c r="AM71" s="4">
        <v>2</v>
      </c>
      <c r="AN71" s="4">
        <v>0</v>
      </c>
      <c r="AO71" s="4">
        <v>0</v>
      </c>
      <c r="AP71" s="3" t="s">
        <v>58</v>
      </c>
      <c r="AQ71" s="3" t="s">
        <v>58</v>
      </c>
      <c r="AS71" s="6" t="str">
        <f>HYPERLINK("https://creighton-primo.hosted.exlibrisgroup.com/primo-explore/search?tab=default_tab&amp;search_scope=EVERYTHING&amp;vid=01CRU&amp;lang=en_US&amp;offset=0&amp;query=any,contains,991005182779702656","Catalog Record")</f>
        <v>Catalog Record</v>
      </c>
      <c r="AT71" s="6" t="str">
        <f>HYPERLINK("http://www.worldcat.org/oclc/7947412","WorldCat Record")</f>
        <v>WorldCat Record</v>
      </c>
      <c r="AU71" s="3" t="s">
        <v>981</v>
      </c>
      <c r="AV71" s="3" t="s">
        <v>982</v>
      </c>
      <c r="AW71" s="3" t="s">
        <v>983</v>
      </c>
      <c r="AX71" s="3" t="s">
        <v>983</v>
      </c>
      <c r="AY71" s="3" t="s">
        <v>984</v>
      </c>
      <c r="AZ71" s="3" t="s">
        <v>75</v>
      </c>
      <c r="BB71" s="3" t="s">
        <v>985</v>
      </c>
      <c r="BC71" s="3" t="s">
        <v>986</v>
      </c>
      <c r="BD71" s="3" t="s">
        <v>987</v>
      </c>
    </row>
    <row r="72" spans="1:56" ht="39" customHeight="1" x14ac:dyDescent="0.25">
      <c r="A72" s="7" t="s">
        <v>58</v>
      </c>
      <c r="B72" s="2" t="s">
        <v>988</v>
      </c>
      <c r="C72" s="2" t="s">
        <v>989</v>
      </c>
      <c r="D72" s="2" t="s">
        <v>990</v>
      </c>
      <c r="F72" s="3" t="s">
        <v>58</v>
      </c>
      <c r="G72" s="3" t="s">
        <v>59</v>
      </c>
      <c r="H72" s="3" t="s">
        <v>58</v>
      </c>
      <c r="I72" s="3" t="s">
        <v>58</v>
      </c>
      <c r="J72" s="3" t="s">
        <v>60</v>
      </c>
      <c r="K72" s="2" t="s">
        <v>991</v>
      </c>
      <c r="L72" s="2" t="s">
        <v>992</v>
      </c>
      <c r="M72" s="3" t="s">
        <v>631</v>
      </c>
      <c r="O72" s="3" t="s">
        <v>65</v>
      </c>
      <c r="P72" s="3" t="s">
        <v>186</v>
      </c>
      <c r="Q72" s="2" t="s">
        <v>993</v>
      </c>
      <c r="R72" s="3" t="s">
        <v>68</v>
      </c>
      <c r="S72" s="4">
        <v>4</v>
      </c>
      <c r="T72" s="4">
        <v>4</v>
      </c>
      <c r="U72" s="5" t="s">
        <v>895</v>
      </c>
      <c r="V72" s="5" t="s">
        <v>895</v>
      </c>
      <c r="W72" s="5" t="s">
        <v>782</v>
      </c>
      <c r="X72" s="5" t="s">
        <v>782</v>
      </c>
      <c r="Y72" s="4">
        <v>97</v>
      </c>
      <c r="Z72" s="4">
        <v>81</v>
      </c>
      <c r="AA72" s="4">
        <v>82</v>
      </c>
      <c r="AB72" s="4">
        <v>2</v>
      </c>
      <c r="AC72" s="4">
        <v>2</v>
      </c>
      <c r="AD72" s="4">
        <v>12</v>
      </c>
      <c r="AE72" s="4">
        <v>12</v>
      </c>
      <c r="AF72" s="4">
        <v>3</v>
      </c>
      <c r="AG72" s="4">
        <v>3</v>
      </c>
      <c r="AH72" s="4">
        <v>3</v>
      </c>
      <c r="AI72" s="4">
        <v>3</v>
      </c>
      <c r="AJ72" s="4">
        <v>8</v>
      </c>
      <c r="AK72" s="4">
        <v>8</v>
      </c>
      <c r="AL72" s="4">
        <v>1</v>
      </c>
      <c r="AM72" s="4">
        <v>1</v>
      </c>
      <c r="AN72" s="4">
        <v>0</v>
      </c>
      <c r="AO72" s="4">
        <v>0</v>
      </c>
      <c r="AP72" s="3" t="s">
        <v>58</v>
      </c>
      <c r="AQ72" s="3" t="s">
        <v>58</v>
      </c>
      <c r="AS72" s="6" t="str">
        <f>HYPERLINK("https://creighton-primo.hosted.exlibrisgroup.com/primo-explore/search?tab=default_tab&amp;search_scope=EVERYTHING&amp;vid=01CRU&amp;lang=en_US&amp;offset=0&amp;query=any,contains,991003805609702656","Catalog Record")</f>
        <v>Catalog Record</v>
      </c>
      <c r="AT72" s="6" t="str">
        <f>HYPERLINK("http://www.worldcat.org/oclc/1530617","WorldCat Record")</f>
        <v>WorldCat Record</v>
      </c>
      <c r="AU72" s="3" t="s">
        <v>994</v>
      </c>
      <c r="AV72" s="3" t="s">
        <v>995</v>
      </c>
      <c r="AW72" s="3" t="s">
        <v>996</v>
      </c>
      <c r="AX72" s="3" t="s">
        <v>996</v>
      </c>
      <c r="AY72" s="3" t="s">
        <v>997</v>
      </c>
      <c r="AZ72" s="3" t="s">
        <v>75</v>
      </c>
      <c r="BB72" s="3" t="s">
        <v>998</v>
      </c>
      <c r="BC72" s="3" t="s">
        <v>999</v>
      </c>
      <c r="BD72" s="3" t="s">
        <v>1000</v>
      </c>
    </row>
    <row r="73" spans="1:56" ht="39" customHeight="1" x14ac:dyDescent="0.25">
      <c r="A73" s="7" t="s">
        <v>58</v>
      </c>
      <c r="B73" s="2" t="s">
        <v>1001</v>
      </c>
      <c r="C73" s="2" t="s">
        <v>1002</v>
      </c>
      <c r="D73" s="2" t="s">
        <v>1003</v>
      </c>
      <c r="F73" s="3" t="s">
        <v>58</v>
      </c>
      <c r="G73" s="3" t="s">
        <v>59</v>
      </c>
      <c r="H73" s="3" t="s">
        <v>58</v>
      </c>
      <c r="I73" s="3" t="s">
        <v>58</v>
      </c>
      <c r="J73" s="3" t="s">
        <v>60</v>
      </c>
      <c r="L73" s="2" t="s">
        <v>1004</v>
      </c>
      <c r="M73" s="3" t="s">
        <v>670</v>
      </c>
      <c r="O73" s="3" t="s">
        <v>65</v>
      </c>
      <c r="P73" s="3" t="s">
        <v>967</v>
      </c>
      <c r="R73" s="3" t="s">
        <v>68</v>
      </c>
      <c r="S73" s="4">
        <v>2</v>
      </c>
      <c r="T73" s="4">
        <v>2</v>
      </c>
      <c r="U73" s="5" t="s">
        <v>1005</v>
      </c>
      <c r="V73" s="5" t="s">
        <v>1005</v>
      </c>
      <c r="W73" s="5" t="s">
        <v>782</v>
      </c>
      <c r="X73" s="5" t="s">
        <v>782</v>
      </c>
      <c r="Y73" s="4">
        <v>267</v>
      </c>
      <c r="Z73" s="4">
        <v>237</v>
      </c>
      <c r="AA73" s="4">
        <v>239</v>
      </c>
      <c r="AB73" s="4">
        <v>4</v>
      </c>
      <c r="AC73" s="4">
        <v>4</v>
      </c>
      <c r="AD73" s="4">
        <v>12</v>
      </c>
      <c r="AE73" s="4">
        <v>12</v>
      </c>
      <c r="AF73" s="4">
        <v>4</v>
      </c>
      <c r="AG73" s="4">
        <v>4</v>
      </c>
      <c r="AH73" s="4">
        <v>4</v>
      </c>
      <c r="AI73" s="4">
        <v>4</v>
      </c>
      <c r="AJ73" s="4">
        <v>4</v>
      </c>
      <c r="AK73" s="4">
        <v>4</v>
      </c>
      <c r="AL73" s="4">
        <v>3</v>
      </c>
      <c r="AM73" s="4">
        <v>3</v>
      </c>
      <c r="AN73" s="4">
        <v>0</v>
      </c>
      <c r="AO73" s="4">
        <v>0</v>
      </c>
      <c r="AP73" s="3" t="s">
        <v>58</v>
      </c>
      <c r="AQ73" s="3" t="s">
        <v>58</v>
      </c>
      <c r="AS73" s="6" t="str">
        <f>HYPERLINK("https://creighton-primo.hosted.exlibrisgroup.com/primo-explore/search?tab=default_tab&amp;search_scope=EVERYTHING&amp;vid=01CRU&amp;lang=en_US&amp;offset=0&amp;query=any,contains,991000652179702656","Catalog Record")</f>
        <v>Catalog Record</v>
      </c>
      <c r="AT73" s="6" t="str">
        <f>HYPERLINK("http://www.worldcat.org/oclc/114077","WorldCat Record")</f>
        <v>WorldCat Record</v>
      </c>
      <c r="AU73" s="3" t="s">
        <v>1006</v>
      </c>
      <c r="AV73" s="3" t="s">
        <v>1007</v>
      </c>
      <c r="AW73" s="3" t="s">
        <v>1008</v>
      </c>
      <c r="AX73" s="3" t="s">
        <v>1008</v>
      </c>
      <c r="AY73" s="3" t="s">
        <v>1009</v>
      </c>
      <c r="AZ73" s="3" t="s">
        <v>75</v>
      </c>
      <c r="BC73" s="3" t="s">
        <v>1010</v>
      </c>
      <c r="BD73" s="3" t="s">
        <v>1011</v>
      </c>
    </row>
    <row r="74" spans="1:56" ht="39" customHeight="1" x14ac:dyDescent="0.25">
      <c r="A74" s="7" t="s">
        <v>58</v>
      </c>
      <c r="B74" s="2" t="s">
        <v>1012</v>
      </c>
      <c r="C74" s="2" t="s">
        <v>1013</v>
      </c>
      <c r="D74" s="2" t="s">
        <v>1014</v>
      </c>
      <c r="F74" s="3" t="s">
        <v>58</v>
      </c>
      <c r="G74" s="3" t="s">
        <v>59</v>
      </c>
      <c r="H74" s="3" t="s">
        <v>58</v>
      </c>
      <c r="I74" s="3" t="s">
        <v>58</v>
      </c>
      <c r="J74" s="3" t="s">
        <v>60</v>
      </c>
      <c r="K74" s="2" t="s">
        <v>1015</v>
      </c>
      <c r="L74" s="2" t="s">
        <v>1016</v>
      </c>
      <c r="M74" s="3" t="s">
        <v>709</v>
      </c>
      <c r="O74" s="3" t="s">
        <v>65</v>
      </c>
      <c r="P74" s="3" t="s">
        <v>1017</v>
      </c>
      <c r="Q74" s="2" t="s">
        <v>1018</v>
      </c>
      <c r="R74" s="3" t="s">
        <v>68</v>
      </c>
      <c r="S74" s="4">
        <v>2</v>
      </c>
      <c r="T74" s="4">
        <v>2</v>
      </c>
      <c r="U74" s="5" t="s">
        <v>1019</v>
      </c>
      <c r="V74" s="5" t="s">
        <v>1019</v>
      </c>
      <c r="W74" s="5" t="s">
        <v>1020</v>
      </c>
      <c r="X74" s="5" t="s">
        <v>1020</v>
      </c>
      <c r="Y74" s="4">
        <v>79</v>
      </c>
      <c r="Z74" s="4">
        <v>72</v>
      </c>
      <c r="AA74" s="4">
        <v>81</v>
      </c>
      <c r="AB74" s="4">
        <v>1</v>
      </c>
      <c r="AC74" s="4">
        <v>1</v>
      </c>
      <c r="AD74" s="4">
        <v>16</v>
      </c>
      <c r="AE74" s="4">
        <v>17</v>
      </c>
      <c r="AF74" s="4">
        <v>4</v>
      </c>
      <c r="AG74" s="4">
        <v>4</v>
      </c>
      <c r="AH74" s="4">
        <v>6</v>
      </c>
      <c r="AI74" s="4">
        <v>6</v>
      </c>
      <c r="AJ74" s="4">
        <v>10</v>
      </c>
      <c r="AK74" s="4">
        <v>11</v>
      </c>
      <c r="AL74" s="4">
        <v>0</v>
      </c>
      <c r="AM74" s="4">
        <v>0</v>
      </c>
      <c r="AN74" s="4">
        <v>0</v>
      </c>
      <c r="AO74" s="4">
        <v>0</v>
      </c>
      <c r="AP74" s="3" t="s">
        <v>58</v>
      </c>
      <c r="AQ74" s="3" t="s">
        <v>58</v>
      </c>
      <c r="AS74" s="6" t="str">
        <f>HYPERLINK("https://creighton-primo.hosted.exlibrisgroup.com/primo-explore/search?tab=default_tab&amp;search_scope=EVERYTHING&amp;vid=01CRU&amp;lang=en_US&amp;offset=0&amp;query=any,contains,991001836209702656","Catalog Record")</f>
        <v>Catalog Record</v>
      </c>
      <c r="AT74" s="6" t="str">
        <f>HYPERLINK("http://www.worldcat.org/oclc/23064003","WorldCat Record")</f>
        <v>WorldCat Record</v>
      </c>
      <c r="AU74" s="3" t="s">
        <v>1021</v>
      </c>
      <c r="AV74" s="3" t="s">
        <v>1022</v>
      </c>
      <c r="AW74" s="3" t="s">
        <v>1023</v>
      </c>
      <c r="AX74" s="3" t="s">
        <v>1023</v>
      </c>
      <c r="AY74" s="3" t="s">
        <v>1024</v>
      </c>
      <c r="AZ74" s="3" t="s">
        <v>75</v>
      </c>
      <c r="BB74" s="3" t="s">
        <v>1025</v>
      </c>
      <c r="BC74" s="3" t="s">
        <v>1026</v>
      </c>
      <c r="BD74" s="3" t="s">
        <v>1027</v>
      </c>
    </row>
    <row r="75" spans="1:56" ht="39" customHeight="1" x14ac:dyDescent="0.25">
      <c r="A75" s="7" t="s">
        <v>58</v>
      </c>
      <c r="B75" s="2" t="s">
        <v>1028</v>
      </c>
      <c r="C75" s="2" t="s">
        <v>1029</v>
      </c>
      <c r="D75" s="2" t="s">
        <v>1030</v>
      </c>
      <c r="F75" s="3" t="s">
        <v>58</v>
      </c>
      <c r="G75" s="3" t="s">
        <v>59</v>
      </c>
      <c r="H75" s="3" t="s">
        <v>58</v>
      </c>
      <c r="I75" s="3" t="s">
        <v>58</v>
      </c>
      <c r="J75" s="3" t="s">
        <v>60</v>
      </c>
      <c r="K75" s="2" t="s">
        <v>1031</v>
      </c>
      <c r="L75" s="2" t="s">
        <v>1032</v>
      </c>
      <c r="M75" s="3" t="s">
        <v>427</v>
      </c>
      <c r="O75" s="3" t="s">
        <v>65</v>
      </c>
      <c r="P75" s="3" t="s">
        <v>186</v>
      </c>
      <c r="Q75" s="2" t="s">
        <v>1033</v>
      </c>
      <c r="R75" s="3" t="s">
        <v>68</v>
      </c>
      <c r="S75" s="4">
        <v>2</v>
      </c>
      <c r="T75" s="4">
        <v>2</v>
      </c>
      <c r="U75" s="5" t="s">
        <v>1034</v>
      </c>
      <c r="V75" s="5" t="s">
        <v>1034</v>
      </c>
      <c r="W75" s="5" t="s">
        <v>1034</v>
      </c>
      <c r="X75" s="5" t="s">
        <v>1034</v>
      </c>
      <c r="Y75" s="4">
        <v>157</v>
      </c>
      <c r="Z75" s="4">
        <v>135</v>
      </c>
      <c r="AA75" s="4">
        <v>141</v>
      </c>
      <c r="AB75" s="4">
        <v>2</v>
      </c>
      <c r="AC75" s="4">
        <v>2</v>
      </c>
      <c r="AD75" s="4">
        <v>17</v>
      </c>
      <c r="AE75" s="4">
        <v>17</v>
      </c>
      <c r="AF75" s="4">
        <v>6</v>
      </c>
      <c r="AG75" s="4">
        <v>6</v>
      </c>
      <c r="AH75" s="4">
        <v>4</v>
      </c>
      <c r="AI75" s="4">
        <v>4</v>
      </c>
      <c r="AJ75" s="4">
        <v>12</v>
      </c>
      <c r="AK75" s="4">
        <v>12</v>
      </c>
      <c r="AL75" s="4">
        <v>1</v>
      </c>
      <c r="AM75" s="4">
        <v>1</v>
      </c>
      <c r="AN75" s="4">
        <v>0</v>
      </c>
      <c r="AO75" s="4">
        <v>0</v>
      </c>
      <c r="AP75" s="3" t="s">
        <v>58</v>
      </c>
      <c r="AQ75" s="3" t="s">
        <v>58</v>
      </c>
      <c r="AS75" s="6" t="str">
        <f>HYPERLINK("https://creighton-primo.hosted.exlibrisgroup.com/primo-explore/search?tab=default_tab&amp;search_scope=EVERYTHING&amp;vid=01CRU&amp;lang=en_US&amp;offset=0&amp;query=any,contains,991005090689702656","Catalog Record")</f>
        <v>Catalog Record</v>
      </c>
      <c r="AT75" s="6" t="str">
        <f>HYPERLINK("http://www.worldcat.org/oclc/4867107","WorldCat Record")</f>
        <v>WorldCat Record</v>
      </c>
      <c r="AU75" s="3" t="s">
        <v>1035</v>
      </c>
      <c r="AV75" s="3" t="s">
        <v>1036</v>
      </c>
      <c r="AW75" s="3" t="s">
        <v>1037</v>
      </c>
      <c r="AX75" s="3" t="s">
        <v>1037</v>
      </c>
      <c r="AY75" s="3" t="s">
        <v>1038</v>
      </c>
      <c r="AZ75" s="3" t="s">
        <v>75</v>
      </c>
      <c r="BB75" s="3" t="s">
        <v>1039</v>
      </c>
      <c r="BC75" s="3" t="s">
        <v>1040</v>
      </c>
      <c r="BD75" s="3" t="s">
        <v>1041</v>
      </c>
    </row>
    <row r="76" spans="1:56" ht="39" customHeight="1" x14ac:dyDescent="0.25">
      <c r="A76" s="7" t="s">
        <v>58</v>
      </c>
      <c r="B76" s="2" t="s">
        <v>1042</v>
      </c>
      <c r="C76" s="2" t="s">
        <v>1043</v>
      </c>
      <c r="D76" s="2" t="s">
        <v>1044</v>
      </c>
      <c r="F76" s="3" t="s">
        <v>58</v>
      </c>
      <c r="G76" s="3" t="s">
        <v>59</v>
      </c>
      <c r="H76" s="3" t="s">
        <v>58</v>
      </c>
      <c r="I76" s="3" t="s">
        <v>58</v>
      </c>
      <c r="J76" s="3" t="s">
        <v>60</v>
      </c>
      <c r="L76" s="2" t="s">
        <v>1045</v>
      </c>
      <c r="M76" s="3" t="s">
        <v>1046</v>
      </c>
      <c r="O76" s="3" t="s">
        <v>65</v>
      </c>
      <c r="P76" s="3" t="s">
        <v>274</v>
      </c>
      <c r="R76" s="3" t="s">
        <v>68</v>
      </c>
      <c r="S76" s="4">
        <v>5</v>
      </c>
      <c r="T76" s="4">
        <v>5</v>
      </c>
      <c r="U76" s="5" t="s">
        <v>1047</v>
      </c>
      <c r="V76" s="5" t="s">
        <v>1047</v>
      </c>
      <c r="W76" s="5" t="s">
        <v>1048</v>
      </c>
      <c r="X76" s="5" t="s">
        <v>1048</v>
      </c>
      <c r="Y76" s="4">
        <v>377</v>
      </c>
      <c r="Z76" s="4">
        <v>309</v>
      </c>
      <c r="AA76" s="4">
        <v>315</v>
      </c>
      <c r="AB76" s="4">
        <v>4</v>
      </c>
      <c r="AC76" s="4">
        <v>4</v>
      </c>
      <c r="AD76" s="4">
        <v>23</v>
      </c>
      <c r="AE76" s="4">
        <v>23</v>
      </c>
      <c r="AF76" s="4">
        <v>8</v>
      </c>
      <c r="AG76" s="4">
        <v>8</v>
      </c>
      <c r="AH76" s="4">
        <v>4</v>
      </c>
      <c r="AI76" s="4">
        <v>4</v>
      </c>
      <c r="AJ76" s="4">
        <v>12</v>
      </c>
      <c r="AK76" s="4">
        <v>12</v>
      </c>
      <c r="AL76" s="4">
        <v>3</v>
      </c>
      <c r="AM76" s="4">
        <v>3</v>
      </c>
      <c r="AN76" s="4">
        <v>0</v>
      </c>
      <c r="AO76" s="4">
        <v>0</v>
      </c>
      <c r="AP76" s="3" t="s">
        <v>58</v>
      </c>
      <c r="AQ76" s="3" t="s">
        <v>58</v>
      </c>
      <c r="AS76" s="6" t="str">
        <f>HYPERLINK("https://creighton-primo.hosted.exlibrisgroup.com/primo-explore/search?tab=default_tab&amp;search_scope=EVERYTHING&amp;vid=01CRU&amp;lang=en_US&amp;offset=0&amp;query=any,contains,991000742969702656","Catalog Record")</f>
        <v>Catalog Record</v>
      </c>
      <c r="AT76" s="6" t="str">
        <f>HYPERLINK("http://www.worldcat.org/oclc/12810634","WorldCat Record")</f>
        <v>WorldCat Record</v>
      </c>
      <c r="AU76" s="3" t="s">
        <v>1049</v>
      </c>
      <c r="AV76" s="3" t="s">
        <v>1050</v>
      </c>
      <c r="AW76" s="3" t="s">
        <v>1051</v>
      </c>
      <c r="AX76" s="3" t="s">
        <v>1051</v>
      </c>
      <c r="AY76" s="3" t="s">
        <v>1052</v>
      </c>
      <c r="AZ76" s="3" t="s">
        <v>75</v>
      </c>
      <c r="BB76" s="3" t="s">
        <v>1053</v>
      </c>
      <c r="BC76" s="3" t="s">
        <v>1054</v>
      </c>
      <c r="BD76" s="3" t="s">
        <v>1055</v>
      </c>
    </row>
    <row r="77" spans="1:56" ht="39" customHeight="1" x14ac:dyDescent="0.25">
      <c r="A77" s="7" t="s">
        <v>58</v>
      </c>
      <c r="B77" s="2" t="s">
        <v>1056</v>
      </c>
      <c r="C77" s="2" t="s">
        <v>1057</v>
      </c>
      <c r="D77" s="2" t="s">
        <v>1058</v>
      </c>
      <c r="F77" s="3" t="s">
        <v>58</v>
      </c>
      <c r="G77" s="3" t="s">
        <v>59</v>
      </c>
      <c r="H77" s="3" t="s">
        <v>58</v>
      </c>
      <c r="I77" s="3" t="s">
        <v>58</v>
      </c>
      <c r="J77" s="3" t="s">
        <v>60</v>
      </c>
      <c r="L77" s="2" t="s">
        <v>1059</v>
      </c>
      <c r="M77" s="3" t="s">
        <v>374</v>
      </c>
      <c r="O77" s="3" t="s">
        <v>65</v>
      </c>
      <c r="P77" s="3" t="s">
        <v>274</v>
      </c>
      <c r="R77" s="3" t="s">
        <v>68</v>
      </c>
      <c r="S77" s="4">
        <v>4</v>
      </c>
      <c r="T77" s="4">
        <v>4</v>
      </c>
      <c r="U77" s="5" t="s">
        <v>919</v>
      </c>
      <c r="V77" s="5" t="s">
        <v>919</v>
      </c>
      <c r="W77" s="5" t="s">
        <v>1060</v>
      </c>
      <c r="X77" s="5" t="s">
        <v>1060</v>
      </c>
      <c r="Y77" s="4">
        <v>283</v>
      </c>
      <c r="Z77" s="4">
        <v>237</v>
      </c>
      <c r="AA77" s="4">
        <v>242</v>
      </c>
      <c r="AB77" s="4">
        <v>4</v>
      </c>
      <c r="AC77" s="4">
        <v>4</v>
      </c>
      <c r="AD77" s="4">
        <v>21</v>
      </c>
      <c r="AE77" s="4">
        <v>21</v>
      </c>
      <c r="AF77" s="4">
        <v>8</v>
      </c>
      <c r="AG77" s="4">
        <v>8</v>
      </c>
      <c r="AH77" s="4">
        <v>3</v>
      </c>
      <c r="AI77" s="4">
        <v>3</v>
      </c>
      <c r="AJ77" s="4">
        <v>12</v>
      </c>
      <c r="AK77" s="4">
        <v>12</v>
      </c>
      <c r="AL77" s="4">
        <v>3</v>
      </c>
      <c r="AM77" s="4">
        <v>3</v>
      </c>
      <c r="AN77" s="4">
        <v>0</v>
      </c>
      <c r="AO77" s="4">
        <v>0</v>
      </c>
      <c r="AP77" s="3" t="s">
        <v>58</v>
      </c>
      <c r="AQ77" s="3" t="s">
        <v>58</v>
      </c>
      <c r="AS77" s="6" t="str">
        <f>HYPERLINK("https://creighton-primo.hosted.exlibrisgroup.com/primo-explore/search?tab=default_tab&amp;search_scope=EVERYTHING&amp;vid=01CRU&amp;lang=en_US&amp;offset=0&amp;query=any,contains,991002411029702656","Catalog Record")</f>
        <v>Catalog Record</v>
      </c>
      <c r="AT77" s="6" t="str">
        <f>HYPERLINK("http://www.worldcat.org/oclc/31376512","WorldCat Record")</f>
        <v>WorldCat Record</v>
      </c>
      <c r="AU77" s="3" t="s">
        <v>1061</v>
      </c>
      <c r="AV77" s="3" t="s">
        <v>1062</v>
      </c>
      <c r="AW77" s="3" t="s">
        <v>1063</v>
      </c>
      <c r="AX77" s="3" t="s">
        <v>1063</v>
      </c>
      <c r="AY77" s="3" t="s">
        <v>1064</v>
      </c>
      <c r="AZ77" s="3" t="s">
        <v>75</v>
      </c>
      <c r="BB77" s="3" t="s">
        <v>1065</v>
      </c>
      <c r="BC77" s="3" t="s">
        <v>1066</v>
      </c>
      <c r="BD77" s="3" t="s">
        <v>1067</v>
      </c>
    </row>
    <row r="78" spans="1:56" ht="39" customHeight="1" x14ac:dyDescent="0.25">
      <c r="A78" s="7" t="s">
        <v>58</v>
      </c>
      <c r="B78" s="2" t="s">
        <v>1068</v>
      </c>
      <c r="C78" s="2" t="s">
        <v>1069</v>
      </c>
      <c r="D78" s="2" t="s">
        <v>1070</v>
      </c>
      <c r="F78" s="3" t="s">
        <v>58</v>
      </c>
      <c r="G78" s="3" t="s">
        <v>59</v>
      </c>
      <c r="H78" s="3" t="s">
        <v>58</v>
      </c>
      <c r="I78" s="3" t="s">
        <v>58</v>
      </c>
      <c r="J78" s="3" t="s">
        <v>60</v>
      </c>
      <c r="K78" s="2" t="s">
        <v>668</v>
      </c>
      <c r="L78" s="2" t="s">
        <v>1032</v>
      </c>
      <c r="M78" s="3" t="s">
        <v>427</v>
      </c>
      <c r="O78" s="3" t="s">
        <v>65</v>
      </c>
      <c r="P78" s="3" t="s">
        <v>186</v>
      </c>
      <c r="R78" s="3" t="s">
        <v>68</v>
      </c>
      <c r="S78" s="4">
        <v>5</v>
      </c>
      <c r="T78" s="4">
        <v>5</v>
      </c>
      <c r="U78" s="5" t="s">
        <v>607</v>
      </c>
      <c r="V78" s="5" t="s">
        <v>607</v>
      </c>
      <c r="W78" s="5" t="s">
        <v>1048</v>
      </c>
      <c r="X78" s="5" t="s">
        <v>1048</v>
      </c>
      <c r="Y78" s="4">
        <v>248</v>
      </c>
      <c r="Z78" s="4">
        <v>210</v>
      </c>
      <c r="AA78" s="4">
        <v>210</v>
      </c>
      <c r="AB78" s="4">
        <v>2</v>
      </c>
      <c r="AC78" s="4">
        <v>2</v>
      </c>
      <c r="AD78" s="4">
        <v>19</v>
      </c>
      <c r="AE78" s="4">
        <v>19</v>
      </c>
      <c r="AF78" s="4">
        <v>7</v>
      </c>
      <c r="AG78" s="4">
        <v>7</v>
      </c>
      <c r="AH78" s="4">
        <v>4</v>
      </c>
      <c r="AI78" s="4">
        <v>4</v>
      </c>
      <c r="AJ78" s="4">
        <v>14</v>
      </c>
      <c r="AK78" s="4">
        <v>14</v>
      </c>
      <c r="AL78" s="4">
        <v>1</v>
      </c>
      <c r="AM78" s="4">
        <v>1</v>
      </c>
      <c r="AN78" s="4">
        <v>0</v>
      </c>
      <c r="AO78" s="4">
        <v>0</v>
      </c>
      <c r="AP78" s="3" t="s">
        <v>58</v>
      </c>
      <c r="AQ78" s="3" t="s">
        <v>58</v>
      </c>
      <c r="AS78" s="6" t="str">
        <f>HYPERLINK("https://creighton-primo.hosted.exlibrisgroup.com/primo-explore/search?tab=default_tab&amp;search_scope=EVERYTHING&amp;vid=01CRU&amp;lang=en_US&amp;offset=0&amp;query=any,contains,991004793529702656","Catalog Record")</f>
        <v>Catalog Record</v>
      </c>
      <c r="AT78" s="6" t="str">
        <f>HYPERLINK("http://www.worldcat.org/oclc/5172385","WorldCat Record")</f>
        <v>WorldCat Record</v>
      </c>
      <c r="AU78" s="3" t="s">
        <v>1071</v>
      </c>
      <c r="AV78" s="3" t="s">
        <v>1072</v>
      </c>
      <c r="AW78" s="3" t="s">
        <v>1073</v>
      </c>
      <c r="AX78" s="3" t="s">
        <v>1073</v>
      </c>
      <c r="AY78" s="3" t="s">
        <v>1074</v>
      </c>
      <c r="AZ78" s="3" t="s">
        <v>75</v>
      </c>
      <c r="BB78" s="3" t="s">
        <v>1075</v>
      </c>
      <c r="BC78" s="3" t="s">
        <v>1076</v>
      </c>
      <c r="BD78" s="3" t="s">
        <v>1077</v>
      </c>
    </row>
    <row r="79" spans="1:56" ht="39" customHeight="1" x14ac:dyDescent="0.25">
      <c r="A79" s="7" t="s">
        <v>58</v>
      </c>
      <c r="B79" s="2" t="s">
        <v>1078</v>
      </c>
      <c r="C79" s="2" t="s">
        <v>1079</v>
      </c>
      <c r="D79" s="2" t="s">
        <v>1080</v>
      </c>
      <c r="F79" s="3" t="s">
        <v>58</v>
      </c>
      <c r="G79" s="3" t="s">
        <v>59</v>
      </c>
      <c r="H79" s="3" t="s">
        <v>58</v>
      </c>
      <c r="I79" s="3" t="s">
        <v>58</v>
      </c>
      <c r="J79" s="3" t="s">
        <v>60</v>
      </c>
      <c r="K79" s="2" t="s">
        <v>1081</v>
      </c>
      <c r="L79" s="2" t="s">
        <v>1082</v>
      </c>
      <c r="M79" s="3" t="s">
        <v>1046</v>
      </c>
      <c r="O79" s="3" t="s">
        <v>65</v>
      </c>
      <c r="P79" s="3" t="s">
        <v>967</v>
      </c>
      <c r="Q79" s="2" t="s">
        <v>1083</v>
      </c>
      <c r="R79" s="3" t="s">
        <v>68</v>
      </c>
      <c r="S79" s="4">
        <v>1</v>
      </c>
      <c r="T79" s="4">
        <v>1</v>
      </c>
      <c r="U79" s="5" t="s">
        <v>1084</v>
      </c>
      <c r="V79" s="5" t="s">
        <v>1084</v>
      </c>
      <c r="W79" s="5" t="s">
        <v>1084</v>
      </c>
      <c r="X79" s="5" t="s">
        <v>1084</v>
      </c>
      <c r="Y79" s="4">
        <v>48</v>
      </c>
      <c r="Z79" s="4">
        <v>38</v>
      </c>
      <c r="AA79" s="4">
        <v>38</v>
      </c>
      <c r="AB79" s="4">
        <v>1</v>
      </c>
      <c r="AC79" s="4">
        <v>1</v>
      </c>
      <c r="AD79" s="4">
        <v>4</v>
      </c>
      <c r="AE79" s="4">
        <v>4</v>
      </c>
      <c r="AF79" s="4">
        <v>1</v>
      </c>
      <c r="AG79" s="4">
        <v>1</v>
      </c>
      <c r="AH79" s="4">
        <v>1</v>
      </c>
      <c r="AI79" s="4">
        <v>1</v>
      </c>
      <c r="AJ79" s="4">
        <v>3</v>
      </c>
      <c r="AK79" s="4">
        <v>3</v>
      </c>
      <c r="AL79" s="4">
        <v>0</v>
      </c>
      <c r="AM79" s="4">
        <v>0</v>
      </c>
      <c r="AN79" s="4">
        <v>0</v>
      </c>
      <c r="AO79" s="4">
        <v>0</v>
      </c>
      <c r="AP79" s="3" t="s">
        <v>58</v>
      </c>
      <c r="AQ79" s="3" t="s">
        <v>58</v>
      </c>
      <c r="AS79" s="6" t="str">
        <f>HYPERLINK("https://creighton-primo.hosted.exlibrisgroup.com/primo-explore/search?tab=default_tab&amp;search_scope=EVERYTHING&amp;vid=01CRU&amp;lang=en_US&amp;offset=0&amp;query=any,contains,991004529749702656","Catalog Record")</f>
        <v>Catalog Record</v>
      </c>
      <c r="AT79" s="6" t="str">
        <f>HYPERLINK("http://www.worldcat.org/oclc/15025891","WorldCat Record")</f>
        <v>WorldCat Record</v>
      </c>
      <c r="AU79" s="3" t="s">
        <v>1085</v>
      </c>
      <c r="AV79" s="3" t="s">
        <v>1086</v>
      </c>
      <c r="AW79" s="3" t="s">
        <v>1087</v>
      </c>
      <c r="AX79" s="3" t="s">
        <v>1087</v>
      </c>
      <c r="AY79" s="3" t="s">
        <v>1088</v>
      </c>
      <c r="AZ79" s="3" t="s">
        <v>75</v>
      </c>
      <c r="BB79" s="3" t="s">
        <v>1089</v>
      </c>
      <c r="BC79" s="3" t="s">
        <v>1090</v>
      </c>
      <c r="BD79" s="3" t="s">
        <v>1091</v>
      </c>
    </row>
    <row r="80" spans="1:56" ht="39" customHeight="1" x14ac:dyDescent="0.25">
      <c r="A80" s="7" t="s">
        <v>58</v>
      </c>
      <c r="B80" s="2" t="s">
        <v>1092</v>
      </c>
      <c r="C80" s="2" t="s">
        <v>1093</v>
      </c>
      <c r="D80" s="2" t="s">
        <v>1094</v>
      </c>
      <c r="F80" s="3" t="s">
        <v>58</v>
      </c>
      <c r="G80" s="3" t="s">
        <v>59</v>
      </c>
      <c r="H80" s="3" t="s">
        <v>58</v>
      </c>
      <c r="I80" s="3" t="s">
        <v>58</v>
      </c>
      <c r="J80" s="3" t="s">
        <v>60</v>
      </c>
      <c r="K80" s="2" t="s">
        <v>1095</v>
      </c>
      <c r="L80" s="2" t="s">
        <v>461</v>
      </c>
      <c r="M80" s="3" t="s">
        <v>361</v>
      </c>
      <c r="O80" s="3" t="s">
        <v>65</v>
      </c>
      <c r="P80" s="3" t="s">
        <v>274</v>
      </c>
      <c r="R80" s="3" t="s">
        <v>68</v>
      </c>
      <c r="S80" s="4">
        <v>1</v>
      </c>
      <c r="T80" s="4">
        <v>1</v>
      </c>
      <c r="U80" s="5" t="s">
        <v>1096</v>
      </c>
      <c r="V80" s="5" t="s">
        <v>1096</v>
      </c>
      <c r="W80" s="5" t="s">
        <v>1048</v>
      </c>
      <c r="X80" s="5" t="s">
        <v>1048</v>
      </c>
      <c r="Y80" s="4">
        <v>382</v>
      </c>
      <c r="Z80" s="4">
        <v>324</v>
      </c>
      <c r="AA80" s="4">
        <v>336</v>
      </c>
      <c r="AB80" s="4">
        <v>4</v>
      </c>
      <c r="AC80" s="4">
        <v>4</v>
      </c>
      <c r="AD80" s="4">
        <v>22</v>
      </c>
      <c r="AE80" s="4">
        <v>22</v>
      </c>
      <c r="AF80" s="4">
        <v>7</v>
      </c>
      <c r="AG80" s="4">
        <v>7</v>
      </c>
      <c r="AH80" s="4">
        <v>3</v>
      </c>
      <c r="AI80" s="4">
        <v>3</v>
      </c>
      <c r="AJ80" s="4">
        <v>14</v>
      </c>
      <c r="AK80" s="4">
        <v>14</v>
      </c>
      <c r="AL80" s="4">
        <v>2</v>
      </c>
      <c r="AM80" s="4">
        <v>2</v>
      </c>
      <c r="AN80" s="4">
        <v>0</v>
      </c>
      <c r="AO80" s="4">
        <v>0</v>
      </c>
      <c r="AP80" s="3" t="s">
        <v>58</v>
      </c>
      <c r="AQ80" s="3" t="s">
        <v>58</v>
      </c>
      <c r="AS80" s="6" t="str">
        <f>HYPERLINK("https://creighton-primo.hosted.exlibrisgroup.com/primo-explore/search?tab=default_tab&amp;search_scope=EVERYTHING&amp;vid=01CRU&amp;lang=en_US&amp;offset=0&amp;query=any,contains,991000301939702656","Catalog Record")</f>
        <v>Catalog Record</v>
      </c>
      <c r="AT80" s="6" t="str">
        <f>HYPERLINK("http://www.worldcat.org/oclc/10023186","WorldCat Record")</f>
        <v>WorldCat Record</v>
      </c>
      <c r="AU80" s="3" t="s">
        <v>1097</v>
      </c>
      <c r="AV80" s="3" t="s">
        <v>1098</v>
      </c>
      <c r="AW80" s="3" t="s">
        <v>1099</v>
      </c>
      <c r="AX80" s="3" t="s">
        <v>1099</v>
      </c>
      <c r="AY80" s="3" t="s">
        <v>1100</v>
      </c>
      <c r="AZ80" s="3" t="s">
        <v>75</v>
      </c>
      <c r="BB80" s="3" t="s">
        <v>1101</v>
      </c>
      <c r="BC80" s="3" t="s">
        <v>1102</v>
      </c>
      <c r="BD80" s="3" t="s">
        <v>1103</v>
      </c>
    </row>
    <row r="81" spans="1:56" ht="39" customHeight="1" x14ac:dyDescent="0.25">
      <c r="A81" s="7" t="s">
        <v>58</v>
      </c>
      <c r="B81" s="2" t="s">
        <v>1104</v>
      </c>
      <c r="C81" s="2" t="s">
        <v>1105</v>
      </c>
      <c r="D81" s="2" t="s">
        <v>1106</v>
      </c>
      <c r="F81" s="3" t="s">
        <v>58</v>
      </c>
      <c r="G81" s="3" t="s">
        <v>59</v>
      </c>
      <c r="H81" s="3" t="s">
        <v>58</v>
      </c>
      <c r="I81" s="3" t="s">
        <v>58</v>
      </c>
      <c r="J81" s="3" t="s">
        <v>60</v>
      </c>
      <c r="K81" s="2" t="s">
        <v>1107</v>
      </c>
      <c r="L81" s="2" t="s">
        <v>1108</v>
      </c>
      <c r="M81" s="3" t="s">
        <v>157</v>
      </c>
      <c r="N81" s="2" t="s">
        <v>476</v>
      </c>
      <c r="O81" s="3" t="s">
        <v>65</v>
      </c>
      <c r="P81" s="3" t="s">
        <v>84</v>
      </c>
      <c r="R81" s="3" t="s">
        <v>68</v>
      </c>
      <c r="S81" s="4">
        <v>1</v>
      </c>
      <c r="T81" s="4">
        <v>1</v>
      </c>
      <c r="U81" s="5" t="s">
        <v>1109</v>
      </c>
      <c r="V81" s="5" t="s">
        <v>1109</v>
      </c>
      <c r="W81" s="5" t="s">
        <v>805</v>
      </c>
      <c r="X81" s="5" t="s">
        <v>805</v>
      </c>
      <c r="Y81" s="4">
        <v>309</v>
      </c>
      <c r="Z81" s="4">
        <v>264</v>
      </c>
      <c r="AA81" s="4">
        <v>270</v>
      </c>
      <c r="AB81" s="4">
        <v>1</v>
      </c>
      <c r="AC81" s="4">
        <v>1</v>
      </c>
      <c r="AD81" s="4">
        <v>21</v>
      </c>
      <c r="AE81" s="4">
        <v>21</v>
      </c>
      <c r="AF81" s="4">
        <v>8</v>
      </c>
      <c r="AG81" s="4">
        <v>8</v>
      </c>
      <c r="AH81" s="4">
        <v>4</v>
      </c>
      <c r="AI81" s="4">
        <v>4</v>
      </c>
      <c r="AJ81" s="4">
        <v>13</v>
      </c>
      <c r="AK81" s="4">
        <v>13</v>
      </c>
      <c r="AL81" s="4">
        <v>0</v>
      </c>
      <c r="AM81" s="4">
        <v>0</v>
      </c>
      <c r="AN81" s="4">
        <v>0</v>
      </c>
      <c r="AO81" s="4">
        <v>0</v>
      </c>
      <c r="AP81" s="3" t="s">
        <v>58</v>
      </c>
      <c r="AQ81" s="3" t="s">
        <v>58</v>
      </c>
      <c r="AS81" s="6" t="str">
        <f>HYPERLINK("https://creighton-primo.hosted.exlibrisgroup.com/primo-explore/search?tab=default_tab&amp;search_scope=EVERYTHING&amp;vid=01CRU&amp;lang=en_US&amp;offset=0&amp;query=any,contains,991005205369702656","Catalog Record")</f>
        <v>Catalog Record</v>
      </c>
      <c r="AT81" s="6" t="str">
        <f>HYPERLINK("http://www.worldcat.org/oclc/8114139","WorldCat Record")</f>
        <v>WorldCat Record</v>
      </c>
      <c r="AU81" s="3" t="s">
        <v>1110</v>
      </c>
      <c r="AV81" s="3" t="s">
        <v>1111</v>
      </c>
      <c r="AW81" s="3" t="s">
        <v>1112</v>
      </c>
      <c r="AX81" s="3" t="s">
        <v>1112</v>
      </c>
      <c r="AY81" s="3" t="s">
        <v>1113</v>
      </c>
      <c r="AZ81" s="3" t="s">
        <v>75</v>
      </c>
      <c r="BB81" s="3" t="s">
        <v>1114</v>
      </c>
      <c r="BC81" s="3" t="s">
        <v>1115</v>
      </c>
      <c r="BD81" s="3" t="s">
        <v>1116</v>
      </c>
    </row>
    <row r="82" spans="1:56" ht="39" customHeight="1" x14ac:dyDescent="0.25">
      <c r="A82" s="7" t="s">
        <v>58</v>
      </c>
      <c r="B82" s="2" t="s">
        <v>1117</v>
      </c>
      <c r="C82" s="2" t="s">
        <v>1118</v>
      </c>
      <c r="D82" s="2" t="s">
        <v>1119</v>
      </c>
      <c r="F82" s="3" t="s">
        <v>58</v>
      </c>
      <c r="G82" s="3" t="s">
        <v>59</v>
      </c>
      <c r="H82" s="3" t="s">
        <v>58</v>
      </c>
      <c r="I82" s="3" t="s">
        <v>58</v>
      </c>
      <c r="J82" s="3" t="s">
        <v>60</v>
      </c>
      <c r="K82" s="2" t="s">
        <v>1120</v>
      </c>
      <c r="L82" s="2" t="s">
        <v>1121</v>
      </c>
      <c r="M82" s="3" t="s">
        <v>229</v>
      </c>
      <c r="O82" s="3" t="s">
        <v>65</v>
      </c>
      <c r="P82" s="3" t="s">
        <v>113</v>
      </c>
      <c r="R82" s="3" t="s">
        <v>68</v>
      </c>
      <c r="S82" s="4">
        <v>2</v>
      </c>
      <c r="T82" s="4">
        <v>2</v>
      </c>
      <c r="U82" s="5" t="s">
        <v>1122</v>
      </c>
      <c r="V82" s="5" t="s">
        <v>1122</v>
      </c>
      <c r="W82" s="5" t="s">
        <v>1123</v>
      </c>
      <c r="X82" s="5" t="s">
        <v>1123</v>
      </c>
      <c r="Y82" s="4">
        <v>98</v>
      </c>
      <c r="Z82" s="4">
        <v>85</v>
      </c>
      <c r="AA82" s="4">
        <v>85</v>
      </c>
      <c r="AB82" s="4">
        <v>1</v>
      </c>
      <c r="AC82" s="4">
        <v>1</v>
      </c>
      <c r="AD82" s="4">
        <v>12</v>
      </c>
      <c r="AE82" s="4">
        <v>12</v>
      </c>
      <c r="AF82" s="4">
        <v>4</v>
      </c>
      <c r="AG82" s="4">
        <v>4</v>
      </c>
      <c r="AH82" s="4">
        <v>4</v>
      </c>
      <c r="AI82" s="4">
        <v>4</v>
      </c>
      <c r="AJ82" s="4">
        <v>5</v>
      </c>
      <c r="AK82" s="4">
        <v>5</v>
      </c>
      <c r="AL82" s="4">
        <v>0</v>
      </c>
      <c r="AM82" s="4">
        <v>0</v>
      </c>
      <c r="AN82" s="4">
        <v>0</v>
      </c>
      <c r="AO82" s="4">
        <v>0</v>
      </c>
      <c r="AP82" s="3" t="s">
        <v>58</v>
      </c>
      <c r="AQ82" s="3" t="s">
        <v>58</v>
      </c>
      <c r="AS82" s="6" t="str">
        <f>HYPERLINK("https://creighton-primo.hosted.exlibrisgroup.com/primo-explore/search?tab=default_tab&amp;search_scope=EVERYTHING&amp;vid=01CRU&amp;lang=en_US&amp;offset=0&amp;query=any,contains,991001727029702656","Catalog Record")</f>
        <v>Catalog Record</v>
      </c>
      <c r="AT82" s="6" t="str">
        <f>HYPERLINK("http://www.worldcat.org/oclc/21894531","WorldCat Record")</f>
        <v>WorldCat Record</v>
      </c>
      <c r="AU82" s="3" t="s">
        <v>1124</v>
      </c>
      <c r="AV82" s="3" t="s">
        <v>1125</v>
      </c>
      <c r="AW82" s="3" t="s">
        <v>1126</v>
      </c>
      <c r="AX82" s="3" t="s">
        <v>1126</v>
      </c>
      <c r="AY82" s="3" t="s">
        <v>1127</v>
      </c>
      <c r="AZ82" s="3" t="s">
        <v>75</v>
      </c>
      <c r="BB82" s="3" t="s">
        <v>1128</v>
      </c>
      <c r="BC82" s="3" t="s">
        <v>1129</v>
      </c>
      <c r="BD82" s="3" t="s">
        <v>1130</v>
      </c>
    </row>
    <row r="83" spans="1:56" ht="39" customHeight="1" x14ac:dyDescent="0.25">
      <c r="A83" s="7" t="s">
        <v>58</v>
      </c>
      <c r="B83" s="2" t="s">
        <v>1131</v>
      </c>
      <c r="C83" s="2" t="s">
        <v>1132</v>
      </c>
      <c r="D83" s="2" t="s">
        <v>1133</v>
      </c>
      <c r="F83" s="3" t="s">
        <v>58</v>
      </c>
      <c r="G83" s="3" t="s">
        <v>59</v>
      </c>
      <c r="H83" s="3" t="s">
        <v>58</v>
      </c>
      <c r="I83" s="3" t="s">
        <v>58</v>
      </c>
      <c r="J83" s="3" t="s">
        <v>60</v>
      </c>
      <c r="K83" s="2" t="s">
        <v>1134</v>
      </c>
      <c r="L83" s="2" t="s">
        <v>1135</v>
      </c>
      <c r="M83" s="3" t="s">
        <v>318</v>
      </c>
      <c r="O83" s="3" t="s">
        <v>65</v>
      </c>
      <c r="P83" s="3" t="s">
        <v>346</v>
      </c>
      <c r="R83" s="3" t="s">
        <v>68</v>
      </c>
      <c r="S83" s="4">
        <v>5</v>
      </c>
      <c r="T83" s="4">
        <v>5</v>
      </c>
      <c r="U83" s="5" t="s">
        <v>1136</v>
      </c>
      <c r="V83" s="5" t="s">
        <v>1136</v>
      </c>
      <c r="W83" s="5" t="s">
        <v>1137</v>
      </c>
      <c r="X83" s="5" t="s">
        <v>1137</v>
      </c>
      <c r="Y83" s="4">
        <v>139</v>
      </c>
      <c r="Z83" s="4">
        <v>127</v>
      </c>
      <c r="AA83" s="4">
        <v>135</v>
      </c>
      <c r="AB83" s="4">
        <v>4</v>
      </c>
      <c r="AC83" s="4">
        <v>5</v>
      </c>
      <c r="AD83" s="4">
        <v>10</v>
      </c>
      <c r="AE83" s="4">
        <v>11</v>
      </c>
      <c r="AF83" s="4">
        <v>4</v>
      </c>
      <c r="AG83" s="4">
        <v>4</v>
      </c>
      <c r="AH83" s="4">
        <v>0</v>
      </c>
      <c r="AI83" s="4">
        <v>0</v>
      </c>
      <c r="AJ83" s="4">
        <v>4</v>
      </c>
      <c r="AK83" s="4">
        <v>4</v>
      </c>
      <c r="AL83" s="4">
        <v>3</v>
      </c>
      <c r="AM83" s="4">
        <v>4</v>
      </c>
      <c r="AN83" s="4">
        <v>0</v>
      </c>
      <c r="AO83" s="4">
        <v>0</v>
      </c>
      <c r="AP83" s="3" t="s">
        <v>58</v>
      </c>
      <c r="AQ83" s="3" t="s">
        <v>58</v>
      </c>
      <c r="AS83" s="6" t="str">
        <f>HYPERLINK("https://creighton-primo.hosted.exlibrisgroup.com/primo-explore/search?tab=default_tab&amp;search_scope=EVERYTHING&amp;vid=01CRU&amp;lang=en_US&amp;offset=0&amp;query=any,contains,991002976419702656","Catalog Record")</f>
        <v>Catalog Record</v>
      </c>
      <c r="AT83" s="6" t="str">
        <f>HYPERLINK("http://www.worldcat.org/oclc/39913329","WorldCat Record")</f>
        <v>WorldCat Record</v>
      </c>
      <c r="AU83" s="3" t="s">
        <v>1138</v>
      </c>
      <c r="AV83" s="3" t="s">
        <v>1139</v>
      </c>
      <c r="AW83" s="3" t="s">
        <v>1140</v>
      </c>
      <c r="AX83" s="3" t="s">
        <v>1140</v>
      </c>
      <c r="AY83" s="3" t="s">
        <v>1141</v>
      </c>
      <c r="AZ83" s="3" t="s">
        <v>75</v>
      </c>
      <c r="BB83" s="3" t="s">
        <v>1142</v>
      </c>
      <c r="BC83" s="3" t="s">
        <v>1143</v>
      </c>
      <c r="BD83" s="3" t="s">
        <v>1144</v>
      </c>
    </row>
    <row r="84" spans="1:56" ht="39" customHeight="1" x14ac:dyDescent="0.25">
      <c r="A84" s="7" t="s">
        <v>58</v>
      </c>
      <c r="B84" s="2" t="s">
        <v>1145</v>
      </c>
      <c r="C84" s="2" t="s">
        <v>1146</v>
      </c>
      <c r="D84" s="2" t="s">
        <v>1147</v>
      </c>
      <c r="F84" s="3" t="s">
        <v>58</v>
      </c>
      <c r="G84" s="3" t="s">
        <v>59</v>
      </c>
      <c r="H84" s="3" t="s">
        <v>58</v>
      </c>
      <c r="I84" s="3" t="s">
        <v>58</v>
      </c>
      <c r="J84" s="3" t="s">
        <v>60</v>
      </c>
      <c r="K84" s="2" t="s">
        <v>1148</v>
      </c>
      <c r="L84" s="2" t="s">
        <v>1149</v>
      </c>
      <c r="M84" s="3" t="s">
        <v>1150</v>
      </c>
      <c r="O84" s="3" t="s">
        <v>65</v>
      </c>
      <c r="P84" s="3" t="s">
        <v>967</v>
      </c>
      <c r="R84" s="3" t="s">
        <v>68</v>
      </c>
      <c r="S84" s="4">
        <v>7</v>
      </c>
      <c r="T84" s="4">
        <v>7</v>
      </c>
      <c r="U84" s="5" t="s">
        <v>1151</v>
      </c>
      <c r="V84" s="5" t="s">
        <v>1151</v>
      </c>
      <c r="W84" s="5" t="s">
        <v>1152</v>
      </c>
      <c r="X84" s="5" t="s">
        <v>1152</v>
      </c>
      <c r="Y84" s="4">
        <v>226</v>
      </c>
      <c r="Z84" s="4">
        <v>191</v>
      </c>
      <c r="AA84" s="4">
        <v>217</v>
      </c>
      <c r="AB84" s="4">
        <v>2</v>
      </c>
      <c r="AC84" s="4">
        <v>2</v>
      </c>
      <c r="AD84" s="4">
        <v>8</v>
      </c>
      <c r="AE84" s="4">
        <v>11</v>
      </c>
      <c r="AF84" s="4">
        <v>4</v>
      </c>
      <c r="AG84" s="4">
        <v>5</v>
      </c>
      <c r="AH84" s="4">
        <v>0</v>
      </c>
      <c r="AI84" s="4">
        <v>1</v>
      </c>
      <c r="AJ84" s="4">
        <v>4</v>
      </c>
      <c r="AK84" s="4">
        <v>7</v>
      </c>
      <c r="AL84" s="4">
        <v>1</v>
      </c>
      <c r="AM84" s="4">
        <v>1</v>
      </c>
      <c r="AN84" s="4">
        <v>0</v>
      </c>
      <c r="AO84" s="4">
        <v>0</v>
      </c>
      <c r="AP84" s="3" t="s">
        <v>58</v>
      </c>
      <c r="AQ84" s="3" t="s">
        <v>58</v>
      </c>
      <c r="AS84" s="6" t="str">
        <f>HYPERLINK("https://creighton-primo.hosted.exlibrisgroup.com/primo-explore/search?tab=default_tab&amp;search_scope=EVERYTHING&amp;vid=01CRU&amp;lang=en_US&amp;offset=0&amp;query=any,contains,991002791989702656","Catalog Record")</f>
        <v>Catalog Record</v>
      </c>
      <c r="AT84" s="6" t="str">
        <f>HYPERLINK("http://www.worldcat.org/oclc/36662886","WorldCat Record")</f>
        <v>WorldCat Record</v>
      </c>
      <c r="AU84" s="3" t="s">
        <v>1153</v>
      </c>
      <c r="AV84" s="3" t="s">
        <v>1154</v>
      </c>
      <c r="AW84" s="3" t="s">
        <v>1155</v>
      </c>
      <c r="AX84" s="3" t="s">
        <v>1155</v>
      </c>
      <c r="AY84" s="3" t="s">
        <v>1156</v>
      </c>
      <c r="AZ84" s="3" t="s">
        <v>75</v>
      </c>
      <c r="BB84" s="3" t="s">
        <v>1157</v>
      </c>
      <c r="BC84" s="3" t="s">
        <v>1158</v>
      </c>
      <c r="BD84" s="3" t="s">
        <v>1159</v>
      </c>
    </row>
    <row r="85" spans="1:56" ht="39" customHeight="1" x14ac:dyDescent="0.25">
      <c r="A85" s="7" t="s">
        <v>58</v>
      </c>
      <c r="B85" s="2" t="s">
        <v>1160</v>
      </c>
      <c r="C85" s="2" t="s">
        <v>1161</v>
      </c>
      <c r="D85" s="2" t="s">
        <v>1162</v>
      </c>
      <c r="F85" s="3" t="s">
        <v>58</v>
      </c>
      <c r="G85" s="3" t="s">
        <v>59</v>
      </c>
      <c r="H85" s="3" t="s">
        <v>58</v>
      </c>
      <c r="I85" s="3" t="s">
        <v>58</v>
      </c>
      <c r="J85" s="3" t="s">
        <v>60</v>
      </c>
      <c r="K85" s="2" t="s">
        <v>1163</v>
      </c>
      <c r="L85" s="2" t="s">
        <v>1164</v>
      </c>
      <c r="M85" s="3" t="s">
        <v>361</v>
      </c>
      <c r="O85" s="3" t="s">
        <v>65</v>
      </c>
      <c r="P85" s="3" t="s">
        <v>346</v>
      </c>
      <c r="R85" s="3" t="s">
        <v>68</v>
      </c>
      <c r="S85" s="4">
        <v>3</v>
      </c>
      <c r="T85" s="4">
        <v>3</v>
      </c>
      <c r="U85" s="5" t="s">
        <v>1165</v>
      </c>
      <c r="V85" s="5" t="s">
        <v>1165</v>
      </c>
      <c r="W85" s="5" t="s">
        <v>86</v>
      </c>
      <c r="X85" s="5" t="s">
        <v>86</v>
      </c>
      <c r="Y85" s="4">
        <v>324</v>
      </c>
      <c r="Z85" s="4">
        <v>272</v>
      </c>
      <c r="AA85" s="4">
        <v>277</v>
      </c>
      <c r="AB85" s="4">
        <v>3</v>
      </c>
      <c r="AC85" s="4">
        <v>3</v>
      </c>
      <c r="AD85" s="4">
        <v>13</v>
      </c>
      <c r="AE85" s="4">
        <v>13</v>
      </c>
      <c r="AF85" s="4">
        <v>7</v>
      </c>
      <c r="AG85" s="4">
        <v>7</v>
      </c>
      <c r="AH85" s="4">
        <v>2</v>
      </c>
      <c r="AI85" s="4">
        <v>2</v>
      </c>
      <c r="AJ85" s="4">
        <v>6</v>
      </c>
      <c r="AK85" s="4">
        <v>6</v>
      </c>
      <c r="AL85" s="4">
        <v>1</v>
      </c>
      <c r="AM85" s="4">
        <v>1</v>
      </c>
      <c r="AN85" s="4">
        <v>0</v>
      </c>
      <c r="AO85" s="4">
        <v>0</v>
      </c>
      <c r="AP85" s="3" t="s">
        <v>58</v>
      </c>
      <c r="AQ85" s="3" t="s">
        <v>58</v>
      </c>
      <c r="AS85" s="6" t="str">
        <f>HYPERLINK("https://creighton-primo.hosted.exlibrisgroup.com/primo-explore/search?tab=default_tab&amp;search_scope=EVERYTHING&amp;vid=01CRU&amp;lang=en_US&amp;offset=0&amp;query=any,contains,991000066979702656","Catalog Record")</f>
        <v>Catalog Record</v>
      </c>
      <c r="AT85" s="6" t="str">
        <f>HYPERLINK("http://www.worldcat.org/oclc/8764126","WorldCat Record")</f>
        <v>WorldCat Record</v>
      </c>
      <c r="AU85" s="3" t="s">
        <v>1166</v>
      </c>
      <c r="AV85" s="3" t="s">
        <v>1167</v>
      </c>
      <c r="AW85" s="3" t="s">
        <v>1168</v>
      </c>
      <c r="AX85" s="3" t="s">
        <v>1168</v>
      </c>
      <c r="AY85" s="3" t="s">
        <v>1169</v>
      </c>
      <c r="AZ85" s="3" t="s">
        <v>75</v>
      </c>
      <c r="BB85" s="3" t="s">
        <v>1170</v>
      </c>
      <c r="BC85" s="3" t="s">
        <v>1171</v>
      </c>
      <c r="BD85" s="3" t="s">
        <v>1172</v>
      </c>
    </row>
    <row r="86" spans="1:56" ht="39" customHeight="1" x14ac:dyDescent="0.25">
      <c r="A86" s="7" t="s">
        <v>58</v>
      </c>
      <c r="B86" s="2" t="s">
        <v>1173</v>
      </c>
      <c r="C86" s="2" t="s">
        <v>1174</v>
      </c>
      <c r="D86" s="2" t="s">
        <v>1175</v>
      </c>
      <c r="F86" s="3" t="s">
        <v>58</v>
      </c>
      <c r="G86" s="3" t="s">
        <v>59</v>
      </c>
      <c r="H86" s="3" t="s">
        <v>58</v>
      </c>
      <c r="I86" s="3" t="s">
        <v>58</v>
      </c>
      <c r="J86" s="3" t="s">
        <v>60</v>
      </c>
      <c r="K86" s="2" t="s">
        <v>1176</v>
      </c>
      <c r="L86" s="2" t="s">
        <v>1177</v>
      </c>
      <c r="M86" s="3" t="s">
        <v>709</v>
      </c>
      <c r="O86" s="3" t="s">
        <v>65</v>
      </c>
      <c r="P86" s="3" t="s">
        <v>201</v>
      </c>
      <c r="R86" s="3" t="s">
        <v>68</v>
      </c>
      <c r="S86" s="4">
        <v>3</v>
      </c>
      <c r="T86" s="4">
        <v>3</v>
      </c>
      <c r="U86" s="5" t="s">
        <v>1178</v>
      </c>
      <c r="V86" s="5" t="s">
        <v>1178</v>
      </c>
      <c r="W86" s="5" t="s">
        <v>1179</v>
      </c>
      <c r="X86" s="5" t="s">
        <v>1179</v>
      </c>
      <c r="Y86" s="4">
        <v>399</v>
      </c>
      <c r="Z86" s="4">
        <v>327</v>
      </c>
      <c r="AA86" s="4">
        <v>334</v>
      </c>
      <c r="AB86" s="4">
        <v>2</v>
      </c>
      <c r="AC86" s="4">
        <v>2</v>
      </c>
      <c r="AD86" s="4">
        <v>28</v>
      </c>
      <c r="AE86" s="4">
        <v>28</v>
      </c>
      <c r="AF86" s="4">
        <v>11</v>
      </c>
      <c r="AG86" s="4">
        <v>11</v>
      </c>
      <c r="AH86" s="4">
        <v>8</v>
      </c>
      <c r="AI86" s="4">
        <v>8</v>
      </c>
      <c r="AJ86" s="4">
        <v>20</v>
      </c>
      <c r="AK86" s="4">
        <v>20</v>
      </c>
      <c r="AL86" s="4">
        <v>1</v>
      </c>
      <c r="AM86" s="4">
        <v>1</v>
      </c>
      <c r="AN86" s="4">
        <v>0</v>
      </c>
      <c r="AO86" s="4">
        <v>0</v>
      </c>
      <c r="AP86" s="3" t="s">
        <v>58</v>
      </c>
      <c r="AQ86" s="3" t="s">
        <v>132</v>
      </c>
      <c r="AR86" s="6" t="str">
        <f>HYPERLINK("http://catalog.hathitrust.org/Record/002231651","HathiTrust Record")</f>
        <v>HathiTrust Record</v>
      </c>
      <c r="AS86" s="6" t="str">
        <f>HYPERLINK("https://creighton-primo.hosted.exlibrisgroup.com/primo-explore/search?tab=default_tab&amp;search_scope=EVERYTHING&amp;vid=01CRU&amp;lang=en_US&amp;offset=0&amp;query=any,contains,991001537749702656","Catalog Record")</f>
        <v>Catalog Record</v>
      </c>
      <c r="AT86" s="6" t="str">
        <f>HYPERLINK("http://www.worldcat.org/oclc/20093396","WorldCat Record")</f>
        <v>WorldCat Record</v>
      </c>
      <c r="AU86" s="3" t="s">
        <v>1180</v>
      </c>
      <c r="AV86" s="3" t="s">
        <v>1181</v>
      </c>
      <c r="AW86" s="3" t="s">
        <v>1182</v>
      </c>
      <c r="AX86" s="3" t="s">
        <v>1182</v>
      </c>
      <c r="AY86" s="3" t="s">
        <v>1183</v>
      </c>
      <c r="AZ86" s="3" t="s">
        <v>75</v>
      </c>
      <c r="BB86" s="3" t="s">
        <v>1184</v>
      </c>
      <c r="BC86" s="3" t="s">
        <v>1185</v>
      </c>
      <c r="BD86" s="3" t="s">
        <v>1186</v>
      </c>
    </row>
    <row r="87" spans="1:56" ht="39" customHeight="1" x14ac:dyDescent="0.25">
      <c r="A87" s="7" t="s">
        <v>58</v>
      </c>
      <c r="B87" s="2" t="s">
        <v>1187</v>
      </c>
      <c r="C87" s="2" t="s">
        <v>1188</v>
      </c>
      <c r="D87" s="2" t="s">
        <v>1189</v>
      </c>
      <c r="F87" s="3" t="s">
        <v>58</v>
      </c>
      <c r="G87" s="3" t="s">
        <v>59</v>
      </c>
      <c r="H87" s="3" t="s">
        <v>58</v>
      </c>
      <c r="I87" s="3" t="s">
        <v>58</v>
      </c>
      <c r="J87" s="3" t="s">
        <v>60</v>
      </c>
      <c r="K87" s="2" t="s">
        <v>1190</v>
      </c>
      <c r="L87" s="2" t="s">
        <v>1191</v>
      </c>
      <c r="M87" s="3" t="s">
        <v>1150</v>
      </c>
      <c r="O87" s="3" t="s">
        <v>65</v>
      </c>
      <c r="P87" s="3" t="s">
        <v>230</v>
      </c>
      <c r="Q87" s="2" t="s">
        <v>1192</v>
      </c>
      <c r="R87" s="3" t="s">
        <v>68</v>
      </c>
      <c r="S87" s="4">
        <v>2</v>
      </c>
      <c r="T87" s="4">
        <v>2</v>
      </c>
      <c r="U87" s="5" t="s">
        <v>1193</v>
      </c>
      <c r="V87" s="5" t="s">
        <v>1193</v>
      </c>
      <c r="W87" s="5" t="s">
        <v>1194</v>
      </c>
      <c r="X87" s="5" t="s">
        <v>1194</v>
      </c>
      <c r="Y87" s="4">
        <v>188</v>
      </c>
      <c r="Z87" s="4">
        <v>147</v>
      </c>
      <c r="AA87" s="4">
        <v>148</v>
      </c>
      <c r="AB87" s="4">
        <v>2</v>
      </c>
      <c r="AC87" s="4">
        <v>2</v>
      </c>
      <c r="AD87" s="4">
        <v>10</v>
      </c>
      <c r="AE87" s="4">
        <v>10</v>
      </c>
      <c r="AF87" s="4">
        <v>3</v>
      </c>
      <c r="AG87" s="4">
        <v>3</v>
      </c>
      <c r="AH87" s="4">
        <v>1</v>
      </c>
      <c r="AI87" s="4">
        <v>1</v>
      </c>
      <c r="AJ87" s="4">
        <v>6</v>
      </c>
      <c r="AK87" s="4">
        <v>6</v>
      </c>
      <c r="AL87" s="4">
        <v>1</v>
      </c>
      <c r="AM87" s="4">
        <v>1</v>
      </c>
      <c r="AN87" s="4">
        <v>0</v>
      </c>
      <c r="AO87" s="4">
        <v>0</v>
      </c>
      <c r="AP87" s="3" t="s">
        <v>58</v>
      </c>
      <c r="AQ87" s="3" t="s">
        <v>58</v>
      </c>
      <c r="AS87" s="6" t="str">
        <f>HYPERLINK("https://creighton-primo.hosted.exlibrisgroup.com/primo-explore/search?tab=default_tab&amp;search_scope=EVERYTHING&amp;vid=01CRU&amp;lang=en_US&amp;offset=0&amp;query=any,contains,991002551559702656","Catalog Record")</f>
        <v>Catalog Record</v>
      </c>
      <c r="AT87" s="6" t="str">
        <f>HYPERLINK("http://www.worldcat.org/oclc/33160822","WorldCat Record")</f>
        <v>WorldCat Record</v>
      </c>
      <c r="AU87" s="3" t="s">
        <v>1195</v>
      </c>
      <c r="AV87" s="3" t="s">
        <v>1196</v>
      </c>
      <c r="AW87" s="3" t="s">
        <v>1197</v>
      </c>
      <c r="AX87" s="3" t="s">
        <v>1197</v>
      </c>
      <c r="AY87" s="3" t="s">
        <v>1198</v>
      </c>
      <c r="AZ87" s="3" t="s">
        <v>75</v>
      </c>
      <c r="BB87" s="3" t="s">
        <v>1199</v>
      </c>
      <c r="BC87" s="3" t="s">
        <v>1200</v>
      </c>
      <c r="BD87" s="3" t="s">
        <v>1201</v>
      </c>
    </row>
    <row r="88" spans="1:56" ht="39" customHeight="1" x14ac:dyDescent="0.25">
      <c r="A88" s="7" t="s">
        <v>58</v>
      </c>
      <c r="B88" s="2" t="s">
        <v>1202</v>
      </c>
      <c r="C88" s="2" t="s">
        <v>1203</v>
      </c>
      <c r="D88" s="2" t="s">
        <v>1204</v>
      </c>
      <c r="F88" s="3" t="s">
        <v>58</v>
      </c>
      <c r="G88" s="3" t="s">
        <v>59</v>
      </c>
      <c r="H88" s="3" t="s">
        <v>58</v>
      </c>
      <c r="I88" s="3" t="s">
        <v>58</v>
      </c>
      <c r="J88" s="3" t="s">
        <v>60</v>
      </c>
      <c r="K88" s="2" t="s">
        <v>1205</v>
      </c>
      <c r="L88" s="2" t="s">
        <v>1206</v>
      </c>
      <c r="M88" s="3" t="s">
        <v>462</v>
      </c>
      <c r="O88" s="3" t="s">
        <v>65</v>
      </c>
      <c r="P88" s="3" t="s">
        <v>1207</v>
      </c>
      <c r="R88" s="3" t="s">
        <v>68</v>
      </c>
      <c r="S88" s="4">
        <v>6</v>
      </c>
      <c r="T88" s="4">
        <v>6</v>
      </c>
      <c r="U88" s="5" t="s">
        <v>1208</v>
      </c>
      <c r="V88" s="5" t="s">
        <v>1208</v>
      </c>
      <c r="W88" s="5" t="s">
        <v>1209</v>
      </c>
      <c r="X88" s="5" t="s">
        <v>1209</v>
      </c>
      <c r="Y88" s="4">
        <v>245</v>
      </c>
      <c r="Z88" s="4">
        <v>171</v>
      </c>
      <c r="AA88" s="4">
        <v>171</v>
      </c>
      <c r="AB88" s="4">
        <v>2</v>
      </c>
      <c r="AC88" s="4">
        <v>2</v>
      </c>
      <c r="AD88" s="4">
        <v>7</v>
      </c>
      <c r="AE88" s="4">
        <v>7</v>
      </c>
      <c r="AF88" s="4">
        <v>2</v>
      </c>
      <c r="AG88" s="4">
        <v>2</v>
      </c>
      <c r="AH88" s="4">
        <v>1</v>
      </c>
      <c r="AI88" s="4">
        <v>1</v>
      </c>
      <c r="AJ88" s="4">
        <v>6</v>
      </c>
      <c r="AK88" s="4">
        <v>6</v>
      </c>
      <c r="AL88" s="4">
        <v>1</v>
      </c>
      <c r="AM88" s="4">
        <v>1</v>
      </c>
      <c r="AN88" s="4">
        <v>0</v>
      </c>
      <c r="AO88" s="4">
        <v>0</v>
      </c>
      <c r="AP88" s="3" t="s">
        <v>58</v>
      </c>
      <c r="AQ88" s="3" t="s">
        <v>58</v>
      </c>
      <c r="AS88" s="6" t="str">
        <f>HYPERLINK("https://creighton-primo.hosted.exlibrisgroup.com/primo-explore/search?tab=default_tab&amp;search_scope=EVERYTHING&amp;vid=01CRU&amp;lang=en_US&amp;offset=0&amp;query=any,contains,991000615089702656","Catalog Record")</f>
        <v>Catalog Record</v>
      </c>
      <c r="AT88" s="6" t="str">
        <f>HYPERLINK("http://www.worldcat.org/oclc/11925635","WorldCat Record")</f>
        <v>WorldCat Record</v>
      </c>
      <c r="AU88" s="3" t="s">
        <v>1210</v>
      </c>
      <c r="AV88" s="3" t="s">
        <v>1211</v>
      </c>
      <c r="AW88" s="3" t="s">
        <v>1212</v>
      </c>
      <c r="AX88" s="3" t="s">
        <v>1212</v>
      </c>
      <c r="AY88" s="3" t="s">
        <v>1213</v>
      </c>
      <c r="AZ88" s="3" t="s">
        <v>75</v>
      </c>
      <c r="BB88" s="3" t="s">
        <v>1214</v>
      </c>
      <c r="BC88" s="3" t="s">
        <v>1215</v>
      </c>
      <c r="BD88" s="3" t="s">
        <v>1216</v>
      </c>
    </row>
    <row r="89" spans="1:56" ht="39" customHeight="1" x14ac:dyDescent="0.25">
      <c r="A89" s="7" t="s">
        <v>58</v>
      </c>
      <c r="B89" s="2" t="s">
        <v>1217</v>
      </c>
      <c r="C89" s="2" t="s">
        <v>1218</v>
      </c>
      <c r="D89" s="2" t="s">
        <v>1219</v>
      </c>
      <c r="F89" s="3" t="s">
        <v>58</v>
      </c>
      <c r="G89" s="3" t="s">
        <v>59</v>
      </c>
      <c r="H89" s="3" t="s">
        <v>58</v>
      </c>
      <c r="I89" s="3" t="s">
        <v>58</v>
      </c>
      <c r="J89" s="3" t="s">
        <v>60</v>
      </c>
      <c r="K89" s="2" t="s">
        <v>1220</v>
      </c>
      <c r="L89" s="2" t="s">
        <v>1221</v>
      </c>
      <c r="M89" s="3" t="s">
        <v>439</v>
      </c>
      <c r="O89" s="3" t="s">
        <v>65</v>
      </c>
      <c r="P89" s="3" t="s">
        <v>66</v>
      </c>
      <c r="R89" s="3" t="s">
        <v>68</v>
      </c>
      <c r="S89" s="4">
        <v>4</v>
      </c>
      <c r="T89" s="4">
        <v>4</v>
      </c>
      <c r="U89" s="5" t="s">
        <v>1222</v>
      </c>
      <c r="V89" s="5" t="s">
        <v>1222</v>
      </c>
      <c r="W89" s="5" t="s">
        <v>1209</v>
      </c>
      <c r="X89" s="5" t="s">
        <v>1209</v>
      </c>
      <c r="Y89" s="4">
        <v>382</v>
      </c>
      <c r="Z89" s="4">
        <v>267</v>
      </c>
      <c r="AA89" s="4">
        <v>274</v>
      </c>
      <c r="AB89" s="4">
        <v>3</v>
      </c>
      <c r="AC89" s="4">
        <v>3</v>
      </c>
      <c r="AD89" s="4">
        <v>13</v>
      </c>
      <c r="AE89" s="4">
        <v>13</v>
      </c>
      <c r="AF89" s="4">
        <v>2</v>
      </c>
      <c r="AG89" s="4">
        <v>2</v>
      </c>
      <c r="AH89" s="4">
        <v>5</v>
      </c>
      <c r="AI89" s="4">
        <v>5</v>
      </c>
      <c r="AJ89" s="4">
        <v>7</v>
      </c>
      <c r="AK89" s="4">
        <v>7</v>
      </c>
      <c r="AL89" s="4">
        <v>2</v>
      </c>
      <c r="AM89" s="4">
        <v>2</v>
      </c>
      <c r="AN89" s="4">
        <v>0</v>
      </c>
      <c r="AO89" s="4">
        <v>0</v>
      </c>
      <c r="AP89" s="3" t="s">
        <v>58</v>
      </c>
      <c r="AQ89" s="3" t="s">
        <v>58</v>
      </c>
      <c r="AS89" s="6" t="str">
        <f>HYPERLINK("https://creighton-primo.hosted.exlibrisgroup.com/primo-explore/search?tab=default_tab&amp;search_scope=EVERYTHING&amp;vid=01CRU&amp;lang=en_US&amp;offset=0&amp;query=any,contains,991004815769702656","Catalog Record")</f>
        <v>Catalog Record</v>
      </c>
      <c r="AT89" s="6" t="str">
        <f>HYPERLINK("http://www.worldcat.org/oclc/5310113","WorldCat Record")</f>
        <v>WorldCat Record</v>
      </c>
      <c r="AU89" s="3" t="s">
        <v>1223</v>
      </c>
      <c r="AV89" s="3" t="s">
        <v>1224</v>
      </c>
      <c r="AW89" s="3" t="s">
        <v>1225</v>
      </c>
      <c r="AX89" s="3" t="s">
        <v>1225</v>
      </c>
      <c r="AY89" s="3" t="s">
        <v>1226</v>
      </c>
      <c r="AZ89" s="3" t="s">
        <v>75</v>
      </c>
      <c r="BB89" s="3" t="s">
        <v>1227</v>
      </c>
      <c r="BC89" s="3" t="s">
        <v>1228</v>
      </c>
      <c r="BD89" s="3" t="s">
        <v>1229</v>
      </c>
    </row>
    <row r="90" spans="1:56" ht="39" customHeight="1" x14ac:dyDescent="0.25">
      <c r="A90" s="7" t="s">
        <v>58</v>
      </c>
      <c r="B90" s="2" t="s">
        <v>1230</v>
      </c>
      <c r="C90" s="2" t="s">
        <v>1231</v>
      </c>
      <c r="D90" s="2" t="s">
        <v>1232</v>
      </c>
      <c r="F90" s="3" t="s">
        <v>58</v>
      </c>
      <c r="G90" s="3" t="s">
        <v>59</v>
      </c>
      <c r="H90" s="3" t="s">
        <v>58</v>
      </c>
      <c r="I90" s="3" t="s">
        <v>58</v>
      </c>
      <c r="J90" s="3" t="s">
        <v>60</v>
      </c>
      <c r="L90" s="2" t="s">
        <v>1233</v>
      </c>
      <c r="M90" s="3" t="s">
        <v>415</v>
      </c>
      <c r="O90" s="3" t="s">
        <v>65</v>
      </c>
      <c r="P90" s="3" t="s">
        <v>571</v>
      </c>
      <c r="Q90" s="2" t="s">
        <v>1234</v>
      </c>
      <c r="R90" s="3" t="s">
        <v>68</v>
      </c>
      <c r="S90" s="4">
        <v>3</v>
      </c>
      <c r="T90" s="4">
        <v>3</v>
      </c>
      <c r="U90" s="5" t="s">
        <v>1178</v>
      </c>
      <c r="V90" s="5" t="s">
        <v>1178</v>
      </c>
      <c r="W90" s="5" t="s">
        <v>1209</v>
      </c>
      <c r="X90" s="5" t="s">
        <v>1209</v>
      </c>
      <c r="Y90" s="4">
        <v>73</v>
      </c>
      <c r="Z90" s="4">
        <v>60</v>
      </c>
      <c r="AA90" s="4">
        <v>60</v>
      </c>
      <c r="AB90" s="4">
        <v>1</v>
      </c>
      <c r="AC90" s="4">
        <v>1</v>
      </c>
      <c r="AD90" s="4">
        <v>10</v>
      </c>
      <c r="AE90" s="4">
        <v>10</v>
      </c>
      <c r="AF90" s="4">
        <v>0</v>
      </c>
      <c r="AG90" s="4">
        <v>0</v>
      </c>
      <c r="AH90" s="4">
        <v>2</v>
      </c>
      <c r="AI90" s="4">
        <v>2</v>
      </c>
      <c r="AJ90" s="4">
        <v>8</v>
      </c>
      <c r="AK90" s="4">
        <v>8</v>
      </c>
      <c r="AL90" s="4">
        <v>0</v>
      </c>
      <c r="AM90" s="4">
        <v>0</v>
      </c>
      <c r="AN90" s="4">
        <v>0</v>
      </c>
      <c r="AO90" s="4">
        <v>0</v>
      </c>
      <c r="AP90" s="3" t="s">
        <v>58</v>
      </c>
      <c r="AQ90" s="3" t="s">
        <v>58</v>
      </c>
      <c r="AS90" s="6" t="str">
        <f>HYPERLINK("https://creighton-primo.hosted.exlibrisgroup.com/primo-explore/search?tab=default_tab&amp;search_scope=EVERYTHING&amp;vid=01CRU&amp;lang=en_US&amp;offset=0&amp;query=any,contains,991004167759702656","Catalog Record")</f>
        <v>Catalog Record</v>
      </c>
      <c r="AT90" s="6" t="str">
        <f>HYPERLINK("http://www.worldcat.org/oclc/2571377","WorldCat Record")</f>
        <v>WorldCat Record</v>
      </c>
      <c r="AU90" s="3" t="s">
        <v>1235</v>
      </c>
      <c r="AV90" s="3" t="s">
        <v>1236</v>
      </c>
      <c r="AW90" s="3" t="s">
        <v>1237</v>
      </c>
      <c r="AX90" s="3" t="s">
        <v>1237</v>
      </c>
      <c r="AY90" s="3" t="s">
        <v>1238</v>
      </c>
      <c r="AZ90" s="3" t="s">
        <v>75</v>
      </c>
      <c r="BC90" s="3" t="s">
        <v>1239</v>
      </c>
      <c r="BD90" s="3" t="s">
        <v>1240</v>
      </c>
    </row>
    <row r="91" spans="1:56" ht="39" customHeight="1" x14ac:dyDescent="0.25">
      <c r="A91" s="7" t="s">
        <v>58</v>
      </c>
      <c r="B91" s="2" t="s">
        <v>1241</v>
      </c>
      <c r="C91" s="2" t="s">
        <v>1242</v>
      </c>
      <c r="D91" s="2" t="s">
        <v>1243</v>
      </c>
      <c r="F91" s="3" t="s">
        <v>58</v>
      </c>
      <c r="G91" s="3" t="s">
        <v>59</v>
      </c>
      <c r="H91" s="3" t="s">
        <v>58</v>
      </c>
      <c r="I91" s="3" t="s">
        <v>58</v>
      </c>
      <c r="J91" s="3" t="s">
        <v>60</v>
      </c>
      <c r="K91" s="2" t="s">
        <v>1244</v>
      </c>
      <c r="L91" s="2" t="s">
        <v>1245</v>
      </c>
      <c r="M91" s="3" t="s">
        <v>759</v>
      </c>
      <c r="O91" s="3" t="s">
        <v>65</v>
      </c>
      <c r="P91" s="3" t="s">
        <v>1246</v>
      </c>
      <c r="R91" s="3" t="s">
        <v>68</v>
      </c>
      <c r="S91" s="4">
        <v>5</v>
      </c>
      <c r="T91" s="4">
        <v>5</v>
      </c>
      <c r="U91" s="5" t="s">
        <v>1247</v>
      </c>
      <c r="V91" s="5" t="s">
        <v>1247</v>
      </c>
      <c r="W91" s="5" t="s">
        <v>1248</v>
      </c>
      <c r="X91" s="5" t="s">
        <v>1248</v>
      </c>
      <c r="Y91" s="4">
        <v>957</v>
      </c>
      <c r="Z91" s="4">
        <v>863</v>
      </c>
      <c r="AA91" s="4">
        <v>868</v>
      </c>
      <c r="AB91" s="4">
        <v>8</v>
      </c>
      <c r="AC91" s="4">
        <v>8</v>
      </c>
      <c r="AD91" s="4">
        <v>33</v>
      </c>
      <c r="AE91" s="4">
        <v>33</v>
      </c>
      <c r="AF91" s="4">
        <v>11</v>
      </c>
      <c r="AG91" s="4">
        <v>11</v>
      </c>
      <c r="AH91" s="4">
        <v>7</v>
      </c>
      <c r="AI91" s="4">
        <v>7</v>
      </c>
      <c r="AJ91" s="4">
        <v>18</v>
      </c>
      <c r="AK91" s="4">
        <v>18</v>
      </c>
      <c r="AL91" s="4">
        <v>5</v>
      </c>
      <c r="AM91" s="4">
        <v>5</v>
      </c>
      <c r="AN91" s="4">
        <v>1</v>
      </c>
      <c r="AO91" s="4">
        <v>1</v>
      </c>
      <c r="AP91" s="3" t="s">
        <v>58</v>
      </c>
      <c r="AQ91" s="3" t="s">
        <v>58</v>
      </c>
      <c r="AS91" s="6" t="str">
        <f>HYPERLINK("https://creighton-primo.hosted.exlibrisgroup.com/primo-explore/search?tab=default_tab&amp;search_scope=EVERYTHING&amp;vid=01CRU&amp;lang=en_US&amp;offset=0&amp;query=any,contains,991001191579702656","Catalog Record")</f>
        <v>Catalog Record</v>
      </c>
      <c r="AT91" s="6" t="str">
        <f>HYPERLINK("http://www.worldcat.org/oclc/17259716","WorldCat Record")</f>
        <v>WorldCat Record</v>
      </c>
      <c r="AU91" s="3" t="s">
        <v>1249</v>
      </c>
      <c r="AV91" s="3" t="s">
        <v>1250</v>
      </c>
      <c r="AW91" s="3" t="s">
        <v>1251</v>
      </c>
      <c r="AX91" s="3" t="s">
        <v>1251</v>
      </c>
      <c r="AY91" s="3" t="s">
        <v>1252</v>
      </c>
      <c r="AZ91" s="3" t="s">
        <v>75</v>
      </c>
      <c r="BB91" s="3" t="s">
        <v>1253</v>
      </c>
      <c r="BC91" s="3" t="s">
        <v>1254</v>
      </c>
      <c r="BD91" s="3" t="s">
        <v>1255</v>
      </c>
    </row>
    <row r="92" spans="1:56" ht="39" customHeight="1" x14ac:dyDescent="0.25">
      <c r="A92" s="7" t="s">
        <v>58</v>
      </c>
      <c r="B92" s="2" t="s">
        <v>1256</v>
      </c>
      <c r="C92" s="2" t="s">
        <v>1257</v>
      </c>
      <c r="D92" s="2" t="s">
        <v>1258</v>
      </c>
      <c r="F92" s="3" t="s">
        <v>58</v>
      </c>
      <c r="G92" s="3" t="s">
        <v>59</v>
      </c>
      <c r="H92" s="3" t="s">
        <v>58</v>
      </c>
      <c r="I92" s="3" t="s">
        <v>58</v>
      </c>
      <c r="J92" s="3" t="s">
        <v>60</v>
      </c>
      <c r="K92" s="2" t="s">
        <v>1259</v>
      </c>
      <c r="L92" s="2" t="s">
        <v>1260</v>
      </c>
      <c r="M92" s="3" t="s">
        <v>1261</v>
      </c>
      <c r="O92" s="3" t="s">
        <v>65</v>
      </c>
      <c r="P92" s="3" t="s">
        <v>66</v>
      </c>
      <c r="Q92" s="2" t="s">
        <v>1262</v>
      </c>
      <c r="R92" s="3" t="s">
        <v>68</v>
      </c>
      <c r="S92" s="4">
        <v>1</v>
      </c>
      <c r="T92" s="4">
        <v>1</v>
      </c>
      <c r="U92" s="5" t="s">
        <v>1263</v>
      </c>
      <c r="V92" s="5" t="s">
        <v>1263</v>
      </c>
      <c r="W92" s="5" t="s">
        <v>1264</v>
      </c>
      <c r="X92" s="5" t="s">
        <v>1264</v>
      </c>
      <c r="Y92" s="4">
        <v>692</v>
      </c>
      <c r="Z92" s="4">
        <v>526</v>
      </c>
      <c r="AA92" s="4">
        <v>532</v>
      </c>
      <c r="AB92" s="4">
        <v>4</v>
      </c>
      <c r="AC92" s="4">
        <v>4</v>
      </c>
      <c r="AD92" s="4">
        <v>28</v>
      </c>
      <c r="AE92" s="4">
        <v>29</v>
      </c>
      <c r="AF92" s="4">
        <v>15</v>
      </c>
      <c r="AG92" s="4">
        <v>15</v>
      </c>
      <c r="AH92" s="4">
        <v>5</v>
      </c>
      <c r="AI92" s="4">
        <v>6</v>
      </c>
      <c r="AJ92" s="4">
        <v>15</v>
      </c>
      <c r="AK92" s="4">
        <v>15</v>
      </c>
      <c r="AL92" s="4">
        <v>2</v>
      </c>
      <c r="AM92" s="4">
        <v>2</v>
      </c>
      <c r="AN92" s="4">
        <v>0</v>
      </c>
      <c r="AO92" s="4">
        <v>0</v>
      </c>
      <c r="AP92" s="3" t="s">
        <v>58</v>
      </c>
      <c r="AQ92" s="3" t="s">
        <v>58</v>
      </c>
      <c r="AS92" s="6" t="str">
        <f>HYPERLINK("https://creighton-primo.hosted.exlibrisgroup.com/primo-explore/search?tab=default_tab&amp;search_scope=EVERYTHING&amp;vid=01CRU&amp;lang=en_US&amp;offset=0&amp;query=any,contains,991002059379702656","Catalog Record")</f>
        <v>Catalog Record</v>
      </c>
      <c r="AT92" s="6" t="str">
        <f>HYPERLINK("http://www.worldcat.org/oclc/18016527","WorldCat Record")</f>
        <v>WorldCat Record</v>
      </c>
      <c r="AU92" s="3" t="s">
        <v>1265</v>
      </c>
      <c r="AV92" s="3" t="s">
        <v>1266</v>
      </c>
      <c r="AW92" s="3" t="s">
        <v>1267</v>
      </c>
      <c r="AX92" s="3" t="s">
        <v>1267</v>
      </c>
      <c r="AY92" s="3" t="s">
        <v>1268</v>
      </c>
      <c r="AZ92" s="3" t="s">
        <v>75</v>
      </c>
      <c r="BB92" s="3" t="s">
        <v>1269</v>
      </c>
      <c r="BC92" s="3" t="s">
        <v>1270</v>
      </c>
      <c r="BD92" s="3" t="s">
        <v>1271</v>
      </c>
    </row>
    <row r="93" spans="1:56" ht="39" customHeight="1" x14ac:dyDescent="0.25">
      <c r="A93" s="7" t="s">
        <v>58</v>
      </c>
      <c r="B93" s="2" t="s">
        <v>1272</v>
      </c>
      <c r="C93" s="2" t="s">
        <v>1273</v>
      </c>
      <c r="D93" s="2" t="s">
        <v>1274</v>
      </c>
      <c r="F93" s="3" t="s">
        <v>58</v>
      </c>
      <c r="G93" s="3" t="s">
        <v>59</v>
      </c>
      <c r="H93" s="3" t="s">
        <v>58</v>
      </c>
      <c r="I93" s="3" t="s">
        <v>58</v>
      </c>
      <c r="J93" s="3" t="s">
        <v>60</v>
      </c>
      <c r="L93" s="2" t="s">
        <v>1275</v>
      </c>
      <c r="M93" s="3" t="s">
        <v>544</v>
      </c>
      <c r="O93" s="3" t="s">
        <v>65</v>
      </c>
      <c r="P93" s="3" t="s">
        <v>113</v>
      </c>
      <c r="R93" s="3" t="s">
        <v>68</v>
      </c>
      <c r="S93" s="4">
        <v>2</v>
      </c>
      <c r="T93" s="4">
        <v>2</v>
      </c>
      <c r="U93" s="5" t="s">
        <v>450</v>
      </c>
      <c r="V93" s="5" t="s">
        <v>450</v>
      </c>
      <c r="W93" s="5" t="s">
        <v>1276</v>
      </c>
      <c r="X93" s="5" t="s">
        <v>1276</v>
      </c>
      <c r="Y93" s="4">
        <v>71</v>
      </c>
      <c r="Z93" s="4">
        <v>62</v>
      </c>
      <c r="AA93" s="4">
        <v>64</v>
      </c>
      <c r="AB93" s="4">
        <v>1</v>
      </c>
      <c r="AC93" s="4">
        <v>1</v>
      </c>
      <c r="AD93" s="4">
        <v>12</v>
      </c>
      <c r="AE93" s="4">
        <v>12</v>
      </c>
      <c r="AF93" s="4">
        <v>4</v>
      </c>
      <c r="AG93" s="4">
        <v>4</v>
      </c>
      <c r="AH93" s="4">
        <v>2</v>
      </c>
      <c r="AI93" s="4">
        <v>2</v>
      </c>
      <c r="AJ93" s="4">
        <v>8</v>
      </c>
      <c r="AK93" s="4">
        <v>8</v>
      </c>
      <c r="AL93" s="4">
        <v>0</v>
      </c>
      <c r="AM93" s="4">
        <v>0</v>
      </c>
      <c r="AN93" s="4">
        <v>0</v>
      </c>
      <c r="AO93" s="4">
        <v>0</v>
      </c>
      <c r="AP93" s="3" t="s">
        <v>58</v>
      </c>
      <c r="AQ93" s="3" t="s">
        <v>58</v>
      </c>
      <c r="AS93" s="6" t="str">
        <f>HYPERLINK("https://creighton-primo.hosted.exlibrisgroup.com/primo-explore/search?tab=default_tab&amp;search_scope=EVERYTHING&amp;vid=01CRU&amp;lang=en_US&amp;offset=0&amp;query=any,contains,991003011749702656","Catalog Record")</f>
        <v>Catalog Record</v>
      </c>
      <c r="AT93" s="6" t="str">
        <f>HYPERLINK("http://www.worldcat.org/oclc/40887995","WorldCat Record")</f>
        <v>WorldCat Record</v>
      </c>
      <c r="AU93" s="3" t="s">
        <v>1277</v>
      </c>
      <c r="AV93" s="3" t="s">
        <v>1278</v>
      </c>
      <c r="AW93" s="3" t="s">
        <v>1279</v>
      </c>
      <c r="AX93" s="3" t="s">
        <v>1279</v>
      </c>
      <c r="AY93" s="3" t="s">
        <v>1280</v>
      </c>
      <c r="AZ93" s="3" t="s">
        <v>75</v>
      </c>
      <c r="BB93" s="3" t="s">
        <v>1281</v>
      </c>
      <c r="BC93" s="3" t="s">
        <v>1282</v>
      </c>
      <c r="BD93" s="3" t="s">
        <v>1283</v>
      </c>
    </row>
    <row r="94" spans="1:56" ht="39" customHeight="1" x14ac:dyDescent="0.25">
      <c r="A94" s="7" t="s">
        <v>58</v>
      </c>
      <c r="B94" s="2" t="s">
        <v>1284</v>
      </c>
      <c r="C94" s="2" t="s">
        <v>1285</v>
      </c>
      <c r="D94" s="2" t="s">
        <v>1286</v>
      </c>
      <c r="F94" s="3" t="s">
        <v>58</v>
      </c>
      <c r="G94" s="3" t="s">
        <v>59</v>
      </c>
      <c r="H94" s="3" t="s">
        <v>58</v>
      </c>
      <c r="I94" s="3" t="s">
        <v>58</v>
      </c>
      <c r="J94" s="3" t="s">
        <v>60</v>
      </c>
      <c r="K94" s="2" t="s">
        <v>1287</v>
      </c>
      <c r="L94" s="2" t="s">
        <v>1288</v>
      </c>
      <c r="M94" s="3" t="s">
        <v>1289</v>
      </c>
      <c r="O94" s="3" t="s">
        <v>65</v>
      </c>
      <c r="P94" s="3" t="s">
        <v>113</v>
      </c>
      <c r="R94" s="3" t="s">
        <v>68</v>
      </c>
      <c r="S94" s="4">
        <v>1</v>
      </c>
      <c r="T94" s="4">
        <v>1</v>
      </c>
      <c r="U94" s="5" t="s">
        <v>1290</v>
      </c>
      <c r="V94" s="5" t="s">
        <v>1290</v>
      </c>
      <c r="W94" s="5" t="s">
        <v>1290</v>
      </c>
      <c r="X94" s="5" t="s">
        <v>1290</v>
      </c>
      <c r="Y94" s="4">
        <v>25</v>
      </c>
      <c r="Z94" s="4">
        <v>24</v>
      </c>
      <c r="AA94" s="4">
        <v>24</v>
      </c>
      <c r="AB94" s="4">
        <v>1</v>
      </c>
      <c r="AC94" s="4">
        <v>1</v>
      </c>
      <c r="AD94" s="4">
        <v>6</v>
      </c>
      <c r="AE94" s="4">
        <v>6</v>
      </c>
      <c r="AF94" s="4">
        <v>2</v>
      </c>
      <c r="AG94" s="4">
        <v>2</v>
      </c>
      <c r="AH94" s="4">
        <v>2</v>
      </c>
      <c r="AI94" s="4">
        <v>2</v>
      </c>
      <c r="AJ94" s="4">
        <v>3</v>
      </c>
      <c r="AK94" s="4">
        <v>3</v>
      </c>
      <c r="AL94" s="4">
        <v>0</v>
      </c>
      <c r="AM94" s="4">
        <v>0</v>
      </c>
      <c r="AN94" s="4">
        <v>0</v>
      </c>
      <c r="AO94" s="4">
        <v>0</v>
      </c>
      <c r="AP94" s="3" t="s">
        <v>58</v>
      </c>
      <c r="AQ94" s="3" t="s">
        <v>58</v>
      </c>
      <c r="AS94" s="6" t="str">
        <f>HYPERLINK("https://creighton-primo.hosted.exlibrisgroup.com/primo-explore/search?tab=default_tab&amp;search_scope=EVERYTHING&amp;vid=01CRU&amp;lang=en_US&amp;offset=0&amp;query=any,contains,991004091199702656","Catalog Record")</f>
        <v>Catalog Record</v>
      </c>
      <c r="AT94" s="6" t="str">
        <f>HYPERLINK("http://www.worldcat.org/oclc/53323612","WorldCat Record")</f>
        <v>WorldCat Record</v>
      </c>
      <c r="AU94" s="3" t="s">
        <v>1291</v>
      </c>
      <c r="AV94" s="3" t="s">
        <v>1292</v>
      </c>
      <c r="AW94" s="3" t="s">
        <v>1293</v>
      </c>
      <c r="AX94" s="3" t="s">
        <v>1293</v>
      </c>
      <c r="AY94" s="3" t="s">
        <v>1294</v>
      </c>
      <c r="AZ94" s="3" t="s">
        <v>75</v>
      </c>
      <c r="BB94" s="3" t="s">
        <v>1295</v>
      </c>
      <c r="BC94" s="3" t="s">
        <v>1296</v>
      </c>
      <c r="BD94" s="3" t="s">
        <v>1297</v>
      </c>
    </row>
    <row r="95" spans="1:56" ht="39" customHeight="1" x14ac:dyDescent="0.25">
      <c r="A95" s="7" t="s">
        <v>58</v>
      </c>
      <c r="B95" s="2" t="s">
        <v>1298</v>
      </c>
      <c r="C95" s="2" t="s">
        <v>1299</v>
      </c>
      <c r="D95" s="2" t="s">
        <v>1300</v>
      </c>
      <c r="F95" s="3" t="s">
        <v>58</v>
      </c>
      <c r="G95" s="3" t="s">
        <v>59</v>
      </c>
      <c r="H95" s="3" t="s">
        <v>58</v>
      </c>
      <c r="I95" s="3" t="s">
        <v>58</v>
      </c>
      <c r="J95" s="3" t="s">
        <v>60</v>
      </c>
      <c r="L95" s="2" t="s">
        <v>1301</v>
      </c>
      <c r="M95" s="3" t="s">
        <v>1302</v>
      </c>
      <c r="O95" s="3" t="s">
        <v>65</v>
      </c>
      <c r="P95" s="3" t="s">
        <v>158</v>
      </c>
      <c r="R95" s="3" t="s">
        <v>68</v>
      </c>
      <c r="S95" s="4">
        <v>4</v>
      </c>
      <c r="T95" s="4">
        <v>4</v>
      </c>
      <c r="U95" s="5" t="s">
        <v>1303</v>
      </c>
      <c r="V95" s="5" t="s">
        <v>1303</v>
      </c>
      <c r="W95" s="5" t="s">
        <v>1304</v>
      </c>
      <c r="X95" s="5" t="s">
        <v>1304</v>
      </c>
      <c r="Y95" s="4">
        <v>274</v>
      </c>
      <c r="Z95" s="4">
        <v>228</v>
      </c>
      <c r="AA95" s="4">
        <v>235</v>
      </c>
      <c r="AB95" s="4">
        <v>2</v>
      </c>
      <c r="AC95" s="4">
        <v>2</v>
      </c>
      <c r="AD95" s="4">
        <v>18</v>
      </c>
      <c r="AE95" s="4">
        <v>20</v>
      </c>
      <c r="AF95" s="4">
        <v>9</v>
      </c>
      <c r="AG95" s="4">
        <v>10</v>
      </c>
      <c r="AH95" s="4">
        <v>3</v>
      </c>
      <c r="AI95" s="4">
        <v>4</v>
      </c>
      <c r="AJ95" s="4">
        <v>11</v>
      </c>
      <c r="AK95" s="4">
        <v>12</v>
      </c>
      <c r="AL95" s="4">
        <v>1</v>
      </c>
      <c r="AM95" s="4">
        <v>1</v>
      </c>
      <c r="AN95" s="4">
        <v>0</v>
      </c>
      <c r="AO95" s="4">
        <v>0</v>
      </c>
      <c r="AP95" s="3" t="s">
        <v>58</v>
      </c>
      <c r="AQ95" s="3" t="s">
        <v>58</v>
      </c>
      <c r="AS95" s="6" t="str">
        <f>HYPERLINK("https://creighton-primo.hosted.exlibrisgroup.com/primo-explore/search?tab=default_tab&amp;search_scope=EVERYTHING&amp;vid=01CRU&amp;lang=en_US&amp;offset=0&amp;query=any,contains,991004217539702656","Catalog Record")</f>
        <v>Catalog Record</v>
      </c>
      <c r="AT95" s="6" t="str">
        <f>HYPERLINK("http://www.worldcat.org/oclc/47625340","WorldCat Record")</f>
        <v>WorldCat Record</v>
      </c>
      <c r="AU95" s="3" t="s">
        <v>1305</v>
      </c>
      <c r="AV95" s="3" t="s">
        <v>1306</v>
      </c>
      <c r="AW95" s="3" t="s">
        <v>1307</v>
      </c>
      <c r="AX95" s="3" t="s">
        <v>1307</v>
      </c>
      <c r="AY95" s="3" t="s">
        <v>1308</v>
      </c>
      <c r="AZ95" s="3" t="s">
        <v>75</v>
      </c>
      <c r="BB95" s="3" t="s">
        <v>1309</v>
      </c>
      <c r="BC95" s="3" t="s">
        <v>1310</v>
      </c>
      <c r="BD95" s="3" t="s">
        <v>1311</v>
      </c>
    </row>
    <row r="96" spans="1:56" ht="39" customHeight="1" x14ac:dyDescent="0.25">
      <c r="A96" s="7" t="s">
        <v>58</v>
      </c>
      <c r="B96" s="2" t="s">
        <v>1312</v>
      </c>
      <c r="C96" s="2" t="s">
        <v>1313</v>
      </c>
      <c r="D96" s="2" t="s">
        <v>1314</v>
      </c>
      <c r="F96" s="3" t="s">
        <v>58</v>
      </c>
      <c r="G96" s="3" t="s">
        <v>59</v>
      </c>
      <c r="H96" s="3" t="s">
        <v>58</v>
      </c>
      <c r="I96" s="3" t="s">
        <v>58</v>
      </c>
      <c r="J96" s="3" t="s">
        <v>60</v>
      </c>
      <c r="K96" s="2" t="s">
        <v>1315</v>
      </c>
      <c r="L96" s="2" t="s">
        <v>1316</v>
      </c>
      <c r="M96" s="3" t="s">
        <v>318</v>
      </c>
      <c r="O96" s="3" t="s">
        <v>65</v>
      </c>
      <c r="P96" s="3" t="s">
        <v>274</v>
      </c>
      <c r="R96" s="3" t="s">
        <v>68</v>
      </c>
      <c r="S96" s="4">
        <v>2</v>
      </c>
      <c r="T96" s="4">
        <v>2</v>
      </c>
      <c r="U96" s="5" t="s">
        <v>1317</v>
      </c>
      <c r="V96" s="5" t="s">
        <v>1317</v>
      </c>
      <c r="W96" s="5" t="s">
        <v>1318</v>
      </c>
      <c r="X96" s="5" t="s">
        <v>1318</v>
      </c>
      <c r="Y96" s="4">
        <v>253</v>
      </c>
      <c r="Z96" s="4">
        <v>216</v>
      </c>
      <c r="AA96" s="4">
        <v>222</v>
      </c>
      <c r="AB96" s="4">
        <v>3</v>
      </c>
      <c r="AC96" s="4">
        <v>3</v>
      </c>
      <c r="AD96" s="4">
        <v>17</v>
      </c>
      <c r="AE96" s="4">
        <v>17</v>
      </c>
      <c r="AF96" s="4">
        <v>7</v>
      </c>
      <c r="AG96" s="4">
        <v>7</v>
      </c>
      <c r="AH96" s="4">
        <v>3</v>
      </c>
      <c r="AI96" s="4">
        <v>3</v>
      </c>
      <c r="AJ96" s="4">
        <v>9</v>
      </c>
      <c r="AK96" s="4">
        <v>9</v>
      </c>
      <c r="AL96" s="4">
        <v>2</v>
      </c>
      <c r="AM96" s="4">
        <v>2</v>
      </c>
      <c r="AN96" s="4">
        <v>0</v>
      </c>
      <c r="AO96" s="4">
        <v>0</v>
      </c>
      <c r="AP96" s="3" t="s">
        <v>58</v>
      </c>
      <c r="AQ96" s="3" t="s">
        <v>58</v>
      </c>
      <c r="AS96" s="6" t="str">
        <f>HYPERLINK("https://creighton-primo.hosted.exlibrisgroup.com/primo-explore/search?tab=default_tab&amp;search_scope=EVERYTHING&amp;vid=01CRU&amp;lang=en_US&amp;offset=0&amp;query=any,contains,991002940119702656","Catalog Record")</f>
        <v>Catalog Record</v>
      </c>
      <c r="AT96" s="6" t="str">
        <f>HYPERLINK("http://www.worldcat.org/oclc/39122757","WorldCat Record")</f>
        <v>WorldCat Record</v>
      </c>
      <c r="AU96" s="3" t="s">
        <v>1319</v>
      </c>
      <c r="AV96" s="3" t="s">
        <v>1320</v>
      </c>
      <c r="AW96" s="3" t="s">
        <v>1321</v>
      </c>
      <c r="AX96" s="3" t="s">
        <v>1321</v>
      </c>
      <c r="AY96" s="3" t="s">
        <v>1322</v>
      </c>
      <c r="AZ96" s="3" t="s">
        <v>75</v>
      </c>
      <c r="BB96" s="3" t="s">
        <v>1323</v>
      </c>
      <c r="BC96" s="3" t="s">
        <v>1324</v>
      </c>
      <c r="BD96" s="3" t="s">
        <v>1325</v>
      </c>
    </row>
    <row r="97" spans="1:56" ht="39" customHeight="1" x14ac:dyDescent="0.25">
      <c r="A97" s="7" t="s">
        <v>58</v>
      </c>
      <c r="B97" s="2" t="s">
        <v>1326</v>
      </c>
      <c r="C97" s="2" t="s">
        <v>1327</v>
      </c>
      <c r="D97" s="2" t="s">
        <v>1328</v>
      </c>
      <c r="F97" s="3" t="s">
        <v>58</v>
      </c>
      <c r="G97" s="3" t="s">
        <v>59</v>
      </c>
      <c r="H97" s="3" t="s">
        <v>58</v>
      </c>
      <c r="I97" s="3" t="s">
        <v>58</v>
      </c>
      <c r="J97" s="3" t="s">
        <v>60</v>
      </c>
      <c r="K97" s="2" t="s">
        <v>1329</v>
      </c>
      <c r="L97" s="2" t="s">
        <v>1330</v>
      </c>
      <c r="M97" s="3" t="s">
        <v>172</v>
      </c>
      <c r="O97" s="3" t="s">
        <v>65</v>
      </c>
      <c r="P97" s="3" t="s">
        <v>1331</v>
      </c>
      <c r="R97" s="3" t="s">
        <v>68</v>
      </c>
      <c r="S97" s="4">
        <v>2</v>
      </c>
      <c r="T97" s="4">
        <v>2</v>
      </c>
      <c r="U97" s="5" t="s">
        <v>1332</v>
      </c>
      <c r="V97" s="5" t="s">
        <v>1332</v>
      </c>
      <c r="W97" s="5" t="s">
        <v>1333</v>
      </c>
      <c r="X97" s="5" t="s">
        <v>1333</v>
      </c>
      <c r="Y97" s="4">
        <v>138</v>
      </c>
      <c r="Z97" s="4">
        <v>136</v>
      </c>
      <c r="AA97" s="4">
        <v>148</v>
      </c>
      <c r="AB97" s="4">
        <v>2</v>
      </c>
      <c r="AC97" s="4">
        <v>2</v>
      </c>
      <c r="AD97" s="4">
        <v>7</v>
      </c>
      <c r="AE97" s="4">
        <v>7</v>
      </c>
      <c r="AF97" s="4">
        <v>2</v>
      </c>
      <c r="AG97" s="4">
        <v>2</v>
      </c>
      <c r="AH97" s="4">
        <v>0</v>
      </c>
      <c r="AI97" s="4">
        <v>0</v>
      </c>
      <c r="AJ97" s="4">
        <v>4</v>
      </c>
      <c r="AK97" s="4">
        <v>4</v>
      </c>
      <c r="AL97" s="4">
        <v>1</v>
      </c>
      <c r="AM97" s="4">
        <v>1</v>
      </c>
      <c r="AN97" s="4">
        <v>0</v>
      </c>
      <c r="AO97" s="4">
        <v>0</v>
      </c>
      <c r="AP97" s="3" t="s">
        <v>58</v>
      </c>
      <c r="AQ97" s="3" t="s">
        <v>132</v>
      </c>
      <c r="AR97" s="6" t="str">
        <f>HYPERLINK("http://catalog.hathitrust.org/Record/001284257","HathiTrust Record")</f>
        <v>HathiTrust Record</v>
      </c>
      <c r="AS97" s="6" t="str">
        <f>HYPERLINK("https://creighton-primo.hosted.exlibrisgroup.com/primo-explore/search?tab=default_tab&amp;search_scope=EVERYTHING&amp;vid=01CRU&amp;lang=en_US&amp;offset=0&amp;query=any,contains,991002109829702656","Catalog Record")</f>
        <v>Catalog Record</v>
      </c>
      <c r="AT97" s="6" t="str">
        <f>HYPERLINK("http://www.worldcat.org/oclc/267066","WorldCat Record")</f>
        <v>WorldCat Record</v>
      </c>
      <c r="AU97" s="3" t="s">
        <v>1334</v>
      </c>
      <c r="AV97" s="3" t="s">
        <v>1335</v>
      </c>
      <c r="AW97" s="3" t="s">
        <v>1336</v>
      </c>
      <c r="AX97" s="3" t="s">
        <v>1336</v>
      </c>
      <c r="AY97" s="3" t="s">
        <v>1337</v>
      </c>
      <c r="AZ97" s="3" t="s">
        <v>75</v>
      </c>
      <c r="BC97" s="3" t="s">
        <v>1338</v>
      </c>
      <c r="BD97" s="3" t="s">
        <v>1339</v>
      </c>
    </row>
    <row r="98" spans="1:56" ht="39" customHeight="1" x14ac:dyDescent="0.25">
      <c r="A98" s="7" t="s">
        <v>58</v>
      </c>
      <c r="B98" s="2" t="s">
        <v>1340</v>
      </c>
      <c r="C98" s="2" t="s">
        <v>1341</v>
      </c>
      <c r="D98" s="2" t="s">
        <v>1342</v>
      </c>
      <c r="F98" s="3" t="s">
        <v>58</v>
      </c>
      <c r="G98" s="3" t="s">
        <v>59</v>
      </c>
      <c r="H98" s="3" t="s">
        <v>58</v>
      </c>
      <c r="I98" s="3" t="s">
        <v>58</v>
      </c>
      <c r="J98" s="3" t="s">
        <v>60</v>
      </c>
      <c r="K98" s="2" t="s">
        <v>1343</v>
      </c>
      <c r="L98" s="2" t="s">
        <v>1344</v>
      </c>
      <c r="M98" s="3" t="s">
        <v>415</v>
      </c>
      <c r="O98" s="3" t="s">
        <v>65</v>
      </c>
      <c r="P98" s="3" t="s">
        <v>1345</v>
      </c>
      <c r="R98" s="3" t="s">
        <v>68</v>
      </c>
      <c r="S98" s="4">
        <v>4</v>
      </c>
      <c r="T98" s="4">
        <v>4</v>
      </c>
      <c r="U98" s="5" t="s">
        <v>1346</v>
      </c>
      <c r="V98" s="5" t="s">
        <v>1346</v>
      </c>
      <c r="W98" s="5" t="s">
        <v>1048</v>
      </c>
      <c r="X98" s="5" t="s">
        <v>1048</v>
      </c>
      <c r="Y98" s="4">
        <v>105</v>
      </c>
      <c r="Z98" s="4">
        <v>90</v>
      </c>
      <c r="AA98" s="4">
        <v>91</v>
      </c>
      <c r="AB98" s="4">
        <v>2</v>
      </c>
      <c r="AC98" s="4">
        <v>2</v>
      </c>
      <c r="AD98" s="4">
        <v>4</v>
      </c>
      <c r="AE98" s="4">
        <v>4</v>
      </c>
      <c r="AF98" s="4">
        <v>2</v>
      </c>
      <c r="AG98" s="4">
        <v>2</v>
      </c>
      <c r="AH98" s="4">
        <v>0</v>
      </c>
      <c r="AI98" s="4">
        <v>0</v>
      </c>
      <c r="AJ98" s="4">
        <v>1</v>
      </c>
      <c r="AK98" s="4">
        <v>1</v>
      </c>
      <c r="AL98" s="4">
        <v>1</v>
      </c>
      <c r="AM98" s="4">
        <v>1</v>
      </c>
      <c r="AN98" s="4">
        <v>0</v>
      </c>
      <c r="AO98" s="4">
        <v>0</v>
      </c>
      <c r="AP98" s="3" t="s">
        <v>58</v>
      </c>
      <c r="AQ98" s="3" t="s">
        <v>58</v>
      </c>
      <c r="AS98" s="6" t="str">
        <f>HYPERLINK("https://creighton-primo.hosted.exlibrisgroup.com/primo-explore/search?tab=default_tab&amp;search_scope=EVERYTHING&amp;vid=01CRU&amp;lang=en_US&amp;offset=0&amp;query=any,contains,991004339049702656","Catalog Record")</f>
        <v>Catalog Record</v>
      </c>
      <c r="AT98" s="6" t="str">
        <f>HYPERLINK("http://www.worldcat.org/oclc/3083280","WorldCat Record")</f>
        <v>WorldCat Record</v>
      </c>
      <c r="AU98" s="3" t="s">
        <v>1347</v>
      </c>
      <c r="AV98" s="3" t="s">
        <v>1348</v>
      </c>
      <c r="AW98" s="3" t="s">
        <v>1349</v>
      </c>
      <c r="AX98" s="3" t="s">
        <v>1349</v>
      </c>
      <c r="AY98" s="3" t="s">
        <v>1350</v>
      </c>
      <c r="AZ98" s="3" t="s">
        <v>75</v>
      </c>
      <c r="BC98" s="3" t="s">
        <v>1351</v>
      </c>
      <c r="BD98" s="3" t="s">
        <v>1352</v>
      </c>
    </row>
    <row r="99" spans="1:56" ht="39" customHeight="1" x14ac:dyDescent="0.25">
      <c r="A99" s="7" t="s">
        <v>58</v>
      </c>
      <c r="B99" s="2" t="s">
        <v>1353</v>
      </c>
      <c r="C99" s="2" t="s">
        <v>1354</v>
      </c>
      <c r="D99" s="2" t="s">
        <v>1355</v>
      </c>
      <c r="F99" s="3" t="s">
        <v>58</v>
      </c>
      <c r="G99" s="3" t="s">
        <v>59</v>
      </c>
      <c r="H99" s="3" t="s">
        <v>58</v>
      </c>
      <c r="I99" s="3" t="s">
        <v>58</v>
      </c>
      <c r="J99" s="3" t="s">
        <v>60</v>
      </c>
      <c r="K99" s="2" t="s">
        <v>1356</v>
      </c>
      <c r="L99" s="2" t="s">
        <v>1357</v>
      </c>
      <c r="M99" s="3" t="s">
        <v>871</v>
      </c>
      <c r="O99" s="3" t="s">
        <v>65</v>
      </c>
      <c r="P99" s="3" t="s">
        <v>1358</v>
      </c>
      <c r="R99" s="3" t="s">
        <v>68</v>
      </c>
      <c r="S99" s="4">
        <v>2</v>
      </c>
      <c r="T99" s="4">
        <v>2</v>
      </c>
      <c r="U99" s="5" t="s">
        <v>1359</v>
      </c>
      <c r="V99" s="5" t="s">
        <v>1359</v>
      </c>
      <c r="W99" s="5" t="s">
        <v>1209</v>
      </c>
      <c r="X99" s="5" t="s">
        <v>1209</v>
      </c>
      <c r="Y99" s="4">
        <v>484</v>
      </c>
      <c r="Z99" s="4">
        <v>439</v>
      </c>
      <c r="AA99" s="4">
        <v>476</v>
      </c>
      <c r="AB99" s="4">
        <v>4</v>
      </c>
      <c r="AC99" s="4">
        <v>4</v>
      </c>
      <c r="AD99" s="4">
        <v>43</v>
      </c>
      <c r="AE99" s="4">
        <v>43</v>
      </c>
      <c r="AF99" s="4">
        <v>16</v>
      </c>
      <c r="AG99" s="4">
        <v>16</v>
      </c>
      <c r="AH99" s="4">
        <v>10</v>
      </c>
      <c r="AI99" s="4">
        <v>10</v>
      </c>
      <c r="AJ99" s="4">
        <v>27</v>
      </c>
      <c r="AK99" s="4">
        <v>27</v>
      </c>
      <c r="AL99" s="4">
        <v>3</v>
      </c>
      <c r="AM99" s="4">
        <v>3</v>
      </c>
      <c r="AN99" s="4">
        <v>0</v>
      </c>
      <c r="AO99" s="4">
        <v>0</v>
      </c>
      <c r="AP99" s="3" t="s">
        <v>58</v>
      </c>
      <c r="AQ99" s="3" t="s">
        <v>132</v>
      </c>
      <c r="AR99" s="6" t="str">
        <f>HYPERLINK("http://catalog.hathitrust.org/Record/004508592","HathiTrust Record")</f>
        <v>HathiTrust Record</v>
      </c>
      <c r="AS99" s="6" t="str">
        <f>HYPERLINK("https://creighton-primo.hosted.exlibrisgroup.com/primo-explore/search?tab=default_tab&amp;search_scope=EVERYTHING&amp;vid=01CRU&amp;lang=en_US&amp;offset=0&amp;query=any,contains,991002662489702656","Catalog Record")</f>
        <v>Catalog Record</v>
      </c>
      <c r="AT99" s="6" t="str">
        <f>HYPERLINK("http://www.worldcat.org/oclc/391941","WorldCat Record")</f>
        <v>WorldCat Record</v>
      </c>
      <c r="AU99" s="3" t="s">
        <v>1360</v>
      </c>
      <c r="AV99" s="3" t="s">
        <v>1361</v>
      </c>
      <c r="AW99" s="3" t="s">
        <v>1362</v>
      </c>
      <c r="AX99" s="3" t="s">
        <v>1362</v>
      </c>
      <c r="AY99" s="3" t="s">
        <v>1363</v>
      </c>
      <c r="AZ99" s="3" t="s">
        <v>75</v>
      </c>
      <c r="BC99" s="3" t="s">
        <v>1364</v>
      </c>
      <c r="BD99" s="3" t="s">
        <v>1365</v>
      </c>
    </row>
    <row r="100" spans="1:56" ht="39" customHeight="1" x14ac:dyDescent="0.25">
      <c r="A100" s="7" t="s">
        <v>58</v>
      </c>
      <c r="B100" s="2" t="s">
        <v>1366</v>
      </c>
      <c r="C100" s="2" t="s">
        <v>1367</v>
      </c>
      <c r="D100" s="2" t="s">
        <v>1368</v>
      </c>
      <c r="F100" s="3" t="s">
        <v>58</v>
      </c>
      <c r="G100" s="3" t="s">
        <v>59</v>
      </c>
      <c r="H100" s="3" t="s">
        <v>58</v>
      </c>
      <c r="I100" s="3" t="s">
        <v>58</v>
      </c>
      <c r="J100" s="3" t="s">
        <v>60</v>
      </c>
      <c r="K100" s="2" t="s">
        <v>1369</v>
      </c>
      <c r="L100" s="2" t="s">
        <v>1370</v>
      </c>
      <c r="M100" s="3" t="s">
        <v>1371</v>
      </c>
      <c r="O100" s="3" t="s">
        <v>1372</v>
      </c>
      <c r="P100" s="3" t="s">
        <v>492</v>
      </c>
      <c r="Q100" s="2" t="s">
        <v>1373</v>
      </c>
      <c r="R100" s="3" t="s">
        <v>68</v>
      </c>
      <c r="S100" s="4">
        <v>7</v>
      </c>
      <c r="T100" s="4">
        <v>7</v>
      </c>
      <c r="U100" s="5" t="s">
        <v>1374</v>
      </c>
      <c r="V100" s="5" t="s">
        <v>1374</v>
      </c>
      <c r="W100" s="5" t="s">
        <v>1209</v>
      </c>
      <c r="X100" s="5" t="s">
        <v>1209</v>
      </c>
      <c r="Y100" s="4">
        <v>85</v>
      </c>
      <c r="Z100" s="4">
        <v>57</v>
      </c>
      <c r="AA100" s="4">
        <v>59</v>
      </c>
      <c r="AB100" s="4">
        <v>1</v>
      </c>
      <c r="AC100" s="4">
        <v>1</v>
      </c>
      <c r="AD100" s="4">
        <v>7</v>
      </c>
      <c r="AE100" s="4">
        <v>7</v>
      </c>
      <c r="AF100" s="4">
        <v>0</v>
      </c>
      <c r="AG100" s="4">
        <v>0</v>
      </c>
      <c r="AH100" s="4">
        <v>4</v>
      </c>
      <c r="AI100" s="4">
        <v>4</v>
      </c>
      <c r="AJ100" s="4">
        <v>4</v>
      </c>
      <c r="AK100" s="4">
        <v>4</v>
      </c>
      <c r="AL100" s="4">
        <v>0</v>
      </c>
      <c r="AM100" s="4">
        <v>0</v>
      </c>
      <c r="AN100" s="4">
        <v>0</v>
      </c>
      <c r="AO100" s="4">
        <v>0</v>
      </c>
      <c r="AP100" s="3" t="s">
        <v>58</v>
      </c>
      <c r="AQ100" s="3" t="s">
        <v>132</v>
      </c>
      <c r="AR100" s="6" t="str">
        <f>HYPERLINK("http://catalog.hathitrust.org/Record/001413083","HathiTrust Record")</f>
        <v>HathiTrust Record</v>
      </c>
      <c r="AS100" s="6" t="str">
        <f>HYPERLINK("https://creighton-primo.hosted.exlibrisgroup.com/primo-explore/search?tab=default_tab&amp;search_scope=EVERYTHING&amp;vid=01CRU&amp;lang=en_US&amp;offset=0&amp;query=any,contains,991003631809702656","Catalog Record")</f>
        <v>Catalog Record</v>
      </c>
      <c r="AT100" s="6" t="str">
        <f>HYPERLINK("http://www.worldcat.org/oclc/1225463","WorldCat Record")</f>
        <v>WorldCat Record</v>
      </c>
      <c r="AU100" s="3" t="s">
        <v>1375</v>
      </c>
      <c r="AV100" s="3" t="s">
        <v>1376</v>
      </c>
      <c r="AW100" s="3" t="s">
        <v>1377</v>
      </c>
      <c r="AX100" s="3" t="s">
        <v>1377</v>
      </c>
      <c r="AY100" s="3" t="s">
        <v>1378</v>
      </c>
      <c r="AZ100" s="3" t="s">
        <v>75</v>
      </c>
      <c r="BC100" s="3" t="s">
        <v>1379</v>
      </c>
      <c r="BD100" s="3" t="s">
        <v>1380</v>
      </c>
    </row>
    <row r="101" spans="1:56" ht="39" customHeight="1" x14ac:dyDescent="0.25">
      <c r="A101" s="7" t="s">
        <v>58</v>
      </c>
      <c r="B101" s="2" t="s">
        <v>1381</v>
      </c>
      <c r="C101" s="2" t="s">
        <v>1382</v>
      </c>
      <c r="D101" s="2" t="s">
        <v>1383</v>
      </c>
      <c r="F101" s="3" t="s">
        <v>58</v>
      </c>
      <c r="G101" s="3" t="s">
        <v>59</v>
      </c>
      <c r="H101" s="3" t="s">
        <v>58</v>
      </c>
      <c r="I101" s="3" t="s">
        <v>58</v>
      </c>
      <c r="J101" s="3" t="s">
        <v>60</v>
      </c>
      <c r="K101" s="2" t="s">
        <v>1384</v>
      </c>
      <c r="L101" s="2" t="s">
        <v>1385</v>
      </c>
      <c r="M101" s="3" t="s">
        <v>759</v>
      </c>
      <c r="O101" s="3" t="s">
        <v>65</v>
      </c>
      <c r="P101" s="3" t="s">
        <v>274</v>
      </c>
      <c r="R101" s="3" t="s">
        <v>68</v>
      </c>
      <c r="S101" s="4">
        <v>2</v>
      </c>
      <c r="T101" s="4">
        <v>2</v>
      </c>
      <c r="U101" s="5" t="s">
        <v>1386</v>
      </c>
      <c r="V101" s="5" t="s">
        <v>1386</v>
      </c>
      <c r="W101" s="5" t="s">
        <v>1048</v>
      </c>
      <c r="X101" s="5" t="s">
        <v>1048</v>
      </c>
      <c r="Y101" s="4">
        <v>353</v>
      </c>
      <c r="Z101" s="4">
        <v>285</v>
      </c>
      <c r="AA101" s="4">
        <v>286</v>
      </c>
      <c r="AB101" s="4">
        <v>4</v>
      </c>
      <c r="AC101" s="4">
        <v>4</v>
      </c>
      <c r="AD101" s="4">
        <v>18</v>
      </c>
      <c r="AE101" s="4">
        <v>18</v>
      </c>
      <c r="AF101" s="4">
        <v>6</v>
      </c>
      <c r="AG101" s="4">
        <v>6</v>
      </c>
      <c r="AH101" s="4">
        <v>4</v>
      </c>
      <c r="AI101" s="4">
        <v>4</v>
      </c>
      <c r="AJ101" s="4">
        <v>10</v>
      </c>
      <c r="AK101" s="4">
        <v>10</v>
      </c>
      <c r="AL101" s="4">
        <v>2</v>
      </c>
      <c r="AM101" s="4">
        <v>2</v>
      </c>
      <c r="AN101" s="4">
        <v>0</v>
      </c>
      <c r="AO101" s="4">
        <v>0</v>
      </c>
      <c r="AP101" s="3" t="s">
        <v>58</v>
      </c>
      <c r="AQ101" s="3" t="s">
        <v>58</v>
      </c>
      <c r="AS101" s="6" t="str">
        <f>HYPERLINK("https://creighton-primo.hosted.exlibrisgroup.com/primo-explore/search?tab=default_tab&amp;search_scope=EVERYTHING&amp;vid=01CRU&amp;lang=en_US&amp;offset=0&amp;query=any,contains,991001329719702656","Catalog Record")</f>
        <v>Catalog Record</v>
      </c>
      <c r="AT101" s="6" t="str">
        <f>HYPERLINK("http://www.worldcat.org/oclc/18321224","WorldCat Record")</f>
        <v>WorldCat Record</v>
      </c>
      <c r="AU101" s="3" t="s">
        <v>1387</v>
      </c>
      <c r="AV101" s="3" t="s">
        <v>1388</v>
      </c>
      <c r="AW101" s="3" t="s">
        <v>1389</v>
      </c>
      <c r="AX101" s="3" t="s">
        <v>1389</v>
      </c>
      <c r="AY101" s="3" t="s">
        <v>1390</v>
      </c>
      <c r="AZ101" s="3" t="s">
        <v>75</v>
      </c>
      <c r="BB101" s="3" t="s">
        <v>1391</v>
      </c>
      <c r="BC101" s="3" t="s">
        <v>1392</v>
      </c>
      <c r="BD101" s="3" t="s">
        <v>1393</v>
      </c>
    </row>
    <row r="102" spans="1:56" ht="39" customHeight="1" x14ac:dyDescent="0.25">
      <c r="A102" s="7" t="s">
        <v>58</v>
      </c>
      <c r="B102" s="2" t="s">
        <v>1394</v>
      </c>
      <c r="C102" s="2" t="s">
        <v>1395</v>
      </c>
      <c r="D102" s="2" t="s">
        <v>1396</v>
      </c>
      <c r="F102" s="3" t="s">
        <v>58</v>
      </c>
      <c r="G102" s="3" t="s">
        <v>59</v>
      </c>
      <c r="H102" s="3" t="s">
        <v>58</v>
      </c>
      <c r="I102" s="3" t="s">
        <v>58</v>
      </c>
      <c r="J102" s="3" t="s">
        <v>60</v>
      </c>
      <c r="L102" s="2" t="s">
        <v>1397</v>
      </c>
      <c r="M102" s="3" t="s">
        <v>374</v>
      </c>
      <c r="O102" s="3" t="s">
        <v>65</v>
      </c>
      <c r="P102" s="3" t="s">
        <v>274</v>
      </c>
      <c r="R102" s="3" t="s">
        <v>68</v>
      </c>
      <c r="S102" s="4">
        <v>1</v>
      </c>
      <c r="T102" s="4">
        <v>1</v>
      </c>
      <c r="U102" s="5" t="s">
        <v>1398</v>
      </c>
      <c r="V102" s="5" t="s">
        <v>1398</v>
      </c>
      <c r="W102" s="5" t="s">
        <v>1399</v>
      </c>
      <c r="X102" s="5" t="s">
        <v>1399</v>
      </c>
      <c r="Y102" s="4">
        <v>255</v>
      </c>
      <c r="Z102" s="4">
        <v>225</v>
      </c>
      <c r="AA102" s="4">
        <v>225</v>
      </c>
      <c r="AB102" s="4">
        <v>4</v>
      </c>
      <c r="AC102" s="4">
        <v>4</v>
      </c>
      <c r="AD102" s="4">
        <v>20</v>
      </c>
      <c r="AE102" s="4">
        <v>20</v>
      </c>
      <c r="AF102" s="4">
        <v>8</v>
      </c>
      <c r="AG102" s="4">
        <v>8</v>
      </c>
      <c r="AH102" s="4">
        <v>3</v>
      </c>
      <c r="AI102" s="4">
        <v>3</v>
      </c>
      <c r="AJ102" s="4">
        <v>11</v>
      </c>
      <c r="AK102" s="4">
        <v>11</v>
      </c>
      <c r="AL102" s="4">
        <v>3</v>
      </c>
      <c r="AM102" s="4">
        <v>3</v>
      </c>
      <c r="AN102" s="4">
        <v>0</v>
      </c>
      <c r="AO102" s="4">
        <v>0</v>
      </c>
      <c r="AP102" s="3" t="s">
        <v>58</v>
      </c>
      <c r="AQ102" s="3" t="s">
        <v>58</v>
      </c>
      <c r="AS102" s="6" t="str">
        <f>HYPERLINK("https://creighton-primo.hosted.exlibrisgroup.com/primo-explore/search?tab=default_tab&amp;search_scope=EVERYTHING&amp;vid=01CRU&amp;lang=en_US&amp;offset=0&amp;query=any,contains,991002558499702656","Catalog Record")</f>
        <v>Catalog Record</v>
      </c>
      <c r="AT102" s="6" t="str">
        <f>HYPERLINK("http://www.worldcat.org/oclc/33245401","WorldCat Record")</f>
        <v>WorldCat Record</v>
      </c>
      <c r="AU102" s="3" t="s">
        <v>1400</v>
      </c>
      <c r="AV102" s="3" t="s">
        <v>1401</v>
      </c>
      <c r="AW102" s="3" t="s">
        <v>1402</v>
      </c>
      <c r="AX102" s="3" t="s">
        <v>1402</v>
      </c>
      <c r="AY102" s="3" t="s">
        <v>1403</v>
      </c>
      <c r="AZ102" s="3" t="s">
        <v>75</v>
      </c>
      <c r="BB102" s="3" t="s">
        <v>1404</v>
      </c>
      <c r="BC102" s="3" t="s">
        <v>1405</v>
      </c>
      <c r="BD102" s="3" t="s">
        <v>1406</v>
      </c>
    </row>
    <row r="103" spans="1:56" ht="39" customHeight="1" x14ac:dyDescent="0.25">
      <c r="A103" s="7" t="s">
        <v>58</v>
      </c>
      <c r="B103" s="2" t="s">
        <v>1407</v>
      </c>
      <c r="C103" s="2" t="s">
        <v>1408</v>
      </c>
      <c r="D103" s="2" t="s">
        <v>1409</v>
      </c>
      <c r="F103" s="3" t="s">
        <v>58</v>
      </c>
      <c r="G103" s="3" t="s">
        <v>59</v>
      </c>
      <c r="H103" s="3" t="s">
        <v>58</v>
      </c>
      <c r="I103" s="3" t="s">
        <v>58</v>
      </c>
      <c r="J103" s="3" t="s">
        <v>60</v>
      </c>
      <c r="K103" s="2" t="s">
        <v>1410</v>
      </c>
      <c r="L103" s="2" t="s">
        <v>1411</v>
      </c>
      <c r="M103" s="3" t="s">
        <v>1412</v>
      </c>
      <c r="O103" s="3" t="s">
        <v>65</v>
      </c>
      <c r="P103" s="3" t="s">
        <v>492</v>
      </c>
      <c r="R103" s="3" t="s">
        <v>68</v>
      </c>
      <c r="S103" s="4">
        <v>1</v>
      </c>
      <c r="T103" s="4">
        <v>1</v>
      </c>
      <c r="U103" s="5" t="s">
        <v>847</v>
      </c>
      <c r="V103" s="5" t="s">
        <v>847</v>
      </c>
      <c r="W103" s="5" t="s">
        <v>1048</v>
      </c>
      <c r="X103" s="5" t="s">
        <v>1048</v>
      </c>
      <c r="Y103" s="4">
        <v>143</v>
      </c>
      <c r="Z103" s="4">
        <v>133</v>
      </c>
      <c r="AA103" s="4">
        <v>151</v>
      </c>
      <c r="AB103" s="4">
        <v>3</v>
      </c>
      <c r="AC103" s="4">
        <v>3</v>
      </c>
      <c r="AD103" s="4">
        <v>18</v>
      </c>
      <c r="AE103" s="4">
        <v>18</v>
      </c>
      <c r="AF103" s="4">
        <v>5</v>
      </c>
      <c r="AG103" s="4">
        <v>5</v>
      </c>
      <c r="AH103" s="4">
        <v>5</v>
      </c>
      <c r="AI103" s="4">
        <v>5</v>
      </c>
      <c r="AJ103" s="4">
        <v>12</v>
      </c>
      <c r="AK103" s="4">
        <v>12</v>
      </c>
      <c r="AL103" s="4">
        <v>1</v>
      </c>
      <c r="AM103" s="4">
        <v>1</v>
      </c>
      <c r="AN103" s="4">
        <v>0</v>
      </c>
      <c r="AO103" s="4">
        <v>0</v>
      </c>
      <c r="AP103" s="3" t="s">
        <v>58</v>
      </c>
      <c r="AQ103" s="3" t="s">
        <v>58</v>
      </c>
      <c r="AS103" s="6" t="str">
        <f>HYPERLINK("https://creighton-primo.hosted.exlibrisgroup.com/primo-explore/search?tab=default_tab&amp;search_scope=EVERYTHING&amp;vid=01CRU&amp;lang=en_US&amp;offset=0&amp;query=any,contains,991003777489702656","Catalog Record")</f>
        <v>Catalog Record</v>
      </c>
      <c r="AT103" s="6" t="str">
        <f>HYPERLINK("http://www.worldcat.org/oclc/1487371","WorldCat Record")</f>
        <v>WorldCat Record</v>
      </c>
      <c r="AU103" s="3" t="s">
        <v>1413</v>
      </c>
      <c r="AV103" s="3" t="s">
        <v>1414</v>
      </c>
      <c r="AW103" s="3" t="s">
        <v>1415</v>
      </c>
      <c r="AX103" s="3" t="s">
        <v>1415</v>
      </c>
      <c r="AY103" s="3" t="s">
        <v>1416</v>
      </c>
      <c r="AZ103" s="3" t="s">
        <v>75</v>
      </c>
      <c r="BC103" s="3" t="s">
        <v>1417</v>
      </c>
      <c r="BD103" s="3" t="s">
        <v>1418</v>
      </c>
    </row>
    <row r="104" spans="1:56" ht="39" customHeight="1" x14ac:dyDescent="0.25">
      <c r="A104" s="7" t="s">
        <v>58</v>
      </c>
      <c r="B104" s="2" t="s">
        <v>1419</v>
      </c>
      <c r="C104" s="2" t="s">
        <v>1420</v>
      </c>
      <c r="D104" s="2" t="s">
        <v>1421</v>
      </c>
      <c r="F104" s="3" t="s">
        <v>58</v>
      </c>
      <c r="G104" s="3" t="s">
        <v>59</v>
      </c>
      <c r="H104" s="3" t="s">
        <v>58</v>
      </c>
      <c r="I104" s="3" t="s">
        <v>58</v>
      </c>
      <c r="J104" s="3" t="s">
        <v>60</v>
      </c>
      <c r="K104" s="2" t="s">
        <v>1422</v>
      </c>
      <c r="L104" s="2" t="s">
        <v>1423</v>
      </c>
      <c r="M104" s="3" t="s">
        <v>1424</v>
      </c>
      <c r="O104" s="3" t="s">
        <v>65</v>
      </c>
      <c r="P104" s="3" t="s">
        <v>1358</v>
      </c>
      <c r="R104" s="3" t="s">
        <v>68</v>
      </c>
      <c r="S104" s="4">
        <v>2</v>
      </c>
      <c r="T104" s="4">
        <v>2</v>
      </c>
      <c r="U104" s="5" t="s">
        <v>1005</v>
      </c>
      <c r="V104" s="5" t="s">
        <v>1005</v>
      </c>
      <c r="W104" s="5" t="s">
        <v>1048</v>
      </c>
      <c r="X104" s="5" t="s">
        <v>1048</v>
      </c>
      <c r="Y104" s="4">
        <v>75</v>
      </c>
      <c r="Z104" s="4">
        <v>66</v>
      </c>
      <c r="AA104" s="4">
        <v>66</v>
      </c>
      <c r="AB104" s="4">
        <v>2</v>
      </c>
      <c r="AC104" s="4">
        <v>2</v>
      </c>
      <c r="AD104" s="4">
        <v>17</v>
      </c>
      <c r="AE104" s="4">
        <v>17</v>
      </c>
      <c r="AF104" s="4">
        <v>3</v>
      </c>
      <c r="AG104" s="4">
        <v>3</v>
      </c>
      <c r="AH104" s="4">
        <v>4</v>
      </c>
      <c r="AI104" s="4">
        <v>4</v>
      </c>
      <c r="AJ104" s="4">
        <v>15</v>
      </c>
      <c r="AK104" s="4">
        <v>15</v>
      </c>
      <c r="AL104" s="4">
        <v>0</v>
      </c>
      <c r="AM104" s="4">
        <v>0</v>
      </c>
      <c r="AN104" s="4">
        <v>0</v>
      </c>
      <c r="AO104" s="4">
        <v>0</v>
      </c>
      <c r="AP104" s="3" t="s">
        <v>58</v>
      </c>
      <c r="AQ104" s="3" t="s">
        <v>58</v>
      </c>
      <c r="AS104" s="6" t="str">
        <f>HYPERLINK("https://creighton-primo.hosted.exlibrisgroup.com/primo-explore/search?tab=default_tab&amp;search_scope=EVERYTHING&amp;vid=01CRU&amp;lang=en_US&amp;offset=0&amp;query=any,contains,991004213889702656","Catalog Record")</f>
        <v>Catalog Record</v>
      </c>
      <c r="AT104" s="6" t="str">
        <f>HYPERLINK("http://www.worldcat.org/oclc/2692691","WorldCat Record")</f>
        <v>WorldCat Record</v>
      </c>
      <c r="AU104" s="3" t="s">
        <v>1425</v>
      </c>
      <c r="AV104" s="3" t="s">
        <v>1426</v>
      </c>
      <c r="AW104" s="3" t="s">
        <v>1427</v>
      </c>
      <c r="AX104" s="3" t="s">
        <v>1427</v>
      </c>
      <c r="AY104" s="3" t="s">
        <v>1428</v>
      </c>
      <c r="AZ104" s="3" t="s">
        <v>75</v>
      </c>
      <c r="BC104" s="3" t="s">
        <v>1429</v>
      </c>
      <c r="BD104" s="3" t="s">
        <v>1430</v>
      </c>
    </row>
    <row r="105" spans="1:56" ht="39" customHeight="1" x14ac:dyDescent="0.25">
      <c r="A105" s="7" t="s">
        <v>58</v>
      </c>
      <c r="B105" s="2" t="s">
        <v>1431</v>
      </c>
      <c r="C105" s="2" t="s">
        <v>1432</v>
      </c>
      <c r="D105" s="2" t="s">
        <v>1433</v>
      </c>
      <c r="F105" s="3" t="s">
        <v>58</v>
      </c>
      <c r="G105" s="3" t="s">
        <v>59</v>
      </c>
      <c r="H105" s="3" t="s">
        <v>58</v>
      </c>
      <c r="I105" s="3" t="s">
        <v>58</v>
      </c>
      <c r="J105" s="3" t="s">
        <v>60</v>
      </c>
      <c r="K105" s="2" t="s">
        <v>1434</v>
      </c>
      <c r="L105" s="2" t="s">
        <v>1435</v>
      </c>
      <c r="M105" s="3" t="s">
        <v>845</v>
      </c>
      <c r="O105" s="3" t="s">
        <v>65</v>
      </c>
      <c r="P105" s="3" t="s">
        <v>84</v>
      </c>
      <c r="R105" s="3" t="s">
        <v>68</v>
      </c>
      <c r="S105" s="4">
        <v>2</v>
      </c>
      <c r="T105" s="4">
        <v>2</v>
      </c>
      <c r="U105" s="5" t="s">
        <v>1436</v>
      </c>
      <c r="V105" s="5" t="s">
        <v>1436</v>
      </c>
      <c r="W105" s="5" t="s">
        <v>1048</v>
      </c>
      <c r="X105" s="5" t="s">
        <v>1048</v>
      </c>
      <c r="Y105" s="4">
        <v>372</v>
      </c>
      <c r="Z105" s="4">
        <v>349</v>
      </c>
      <c r="AA105" s="4">
        <v>355</v>
      </c>
      <c r="AB105" s="4">
        <v>5</v>
      </c>
      <c r="AC105" s="4">
        <v>5</v>
      </c>
      <c r="AD105" s="4">
        <v>26</v>
      </c>
      <c r="AE105" s="4">
        <v>26</v>
      </c>
      <c r="AF105" s="4">
        <v>7</v>
      </c>
      <c r="AG105" s="4">
        <v>7</v>
      </c>
      <c r="AH105" s="4">
        <v>8</v>
      </c>
      <c r="AI105" s="4">
        <v>8</v>
      </c>
      <c r="AJ105" s="4">
        <v>15</v>
      </c>
      <c r="AK105" s="4">
        <v>15</v>
      </c>
      <c r="AL105" s="4">
        <v>4</v>
      </c>
      <c r="AM105" s="4">
        <v>4</v>
      </c>
      <c r="AN105" s="4">
        <v>0</v>
      </c>
      <c r="AO105" s="4">
        <v>0</v>
      </c>
      <c r="AP105" s="3" t="s">
        <v>58</v>
      </c>
      <c r="AQ105" s="3" t="s">
        <v>132</v>
      </c>
      <c r="AR105" s="6" t="str">
        <f>HYPERLINK("http://catalog.hathitrust.org/Record/009906985","HathiTrust Record")</f>
        <v>HathiTrust Record</v>
      </c>
      <c r="AS105" s="6" t="str">
        <f>HYPERLINK("https://creighton-primo.hosted.exlibrisgroup.com/primo-explore/search?tab=default_tab&amp;search_scope=EVERYTHING&amp;vid=01CRU&amp;lang=en_US&amp;offset=0&amp;query=any,contains,991005437079702656","Catalog Record")</f>
        <v>Catalog Record</v>
      </c>
      <c r="AT105" s="6" t="str">
        <f>HYPERLINK("http://www.worldcat.org/oclc/4980","WorldCat Record")</f>
        <v>WorldCat Record</v>
      </c>
      <c r="AU105" s="3" t="s">
        <v>1437</v>
      </c>
      <c r="AV105" s="3" t="s">
        <v>1438</v>
      </c>
      <c r="AW105" s="3" t="s">
        <v>1439</v>
      </c>
      <c r="AX105" s="3" t="s">
        <v>1439</v>
      </c>
      <c r="AY105" s="3" t="s">
        <v>1440</v>
      </c>
      <c r="AZ105" s="3" t="s">
        <v>75</v>
      </c>
      <c r="BB105" s="3" t="s">
        <v>1441</v>
      </c>
      <c r="BC105" s="3" t="s">
        <v>1442</v>
      </c>
      <c r="BD105" s="3" t="s">
        <v>1443</v>
      </c>
    </row>
    <row r="106" spans="1:56" ht="39" customHeight="1" x14ac:dyDescent="0.25">
      <c r="A106" s="7" t="s">
        <v>58</v>
      </c>
      <c r="B106" s="2" t="s">
        <v>1444</v>
      </c>
      <c r="C106" s="2" t="s">
        <v>1445</v>
      </c>
      <c r="D106" s="2" t="s">
        <v>1446</v>
      </c>
      <c r="F106" s="3" t="s">
        <v>58</v>
      </c>
      <c r="G106" s="3" t="s">
        <v>59</v>
      </c>
      <c r="H106" s="3" t="s">
        <v>132</v>
      </c>
      <c r="I106" s="3" t="s">
        <v>58</v>
      </c>
      <c r="J106" s="3" t="s">
        <v>60</v>
      </c>
      <c r="K106" s="2" t="s">
        <v>1447</v>
      </c>
      <c r="L106" s="2" t="s">
        <v>1448</v>
      </c>
      <c r="M106" s="3" t="s">
        <v>1449</v>
      </c>
      <c r="O106" s="3" t="s">
        <v>65</v>
      </c>
      <c r="P106" s="3" t="s">
        <v>158</v>
      </c>
      <c r="R106" s="3" t="s">
        <v>68</v>
      </c>
      <c r="S106" s="4">
        <v>2</v>
      </c>
      <c r="T106" s="4">
        <v>4</v>
      </c>
      <c r="U106" s="5" t="s">
        <v>1450</v>
      </c>
      <c r="V106" s="5" t="s">
        <v>1451</v>
      </c>
      <c r="W106" s="5" t="s">
        <v>1048</v>
      </c>
      <c r="X106" s="5" t="s">
        <v>1048</v>
      </c>
      <c r="Y106" s="4">
        <v>677</v>
      </c>
      <c r="Z106" s="4">
        <v>640</v>
      </c>
      <c r="AA106" s="4">
        <v>642</v>
      </c>
      <c r="AB106" s="4">
        <v>7</v>
      </c>
      <c r="AC106" s="4">
        <v>7</v>
      </c>
      <c r="AD106" s="4">
        <v>39</v>
      </c>
      <c r="AE106" s="4">
        <v>39</v>
      </c>
      <c r="AF106" s="4">
        <v>11</v>
      </c>
      <c r="AG106" s="4">
        <v>11</v>
      </c>
      <c r="AH106" s="4">
        <v>7</v>
      </c>
      <c r="AI106" s="4">
        <v>7</v>
      </c>
      <c r="AJ106" s="4">
        <v>23</v>
      </c>
      <c r="AK106" s="4">
        <v>23</v>
      </c>
      <c r="AL106" s="4">
        <v>4</v>
      </c>
      <c r="AM106" s="4">
        <v>4</v>
      </c>
      <c r="AN106" s="4">
        <v>4</v>
      </c>
      <c r="AO106" s="4">
        <v>4</v>
      </c>
      <c r="AP106" s="3" t="s">
        <v>58</v>
      </c>
      <c r="AQ106" s="3" t="s">
        <v>132</v>
      </c>
      <c r="AR106" s="6" t="str">
        <f>HYPERLINK("http://catalog.hathitrust.org/Record/001449785","HathiTrust Record")</f>
        <v>HathiTrust Record</v>
      </c>
      <c r="AS106" s="6" t="str">
        <f>HYPERLINK("https://creighton-primo.hosted.exlibrisgroup.com/primo-explore/search?tab=default_tab&amp;search_scope=EVERYTHING&amp;vid=01CRU&amp;lang=en_US&amp;offset=0&amp;query=any,contains,991002650909702656","Catalog Record")</f>
        <v>Catalog Record</v>
      </c>
      <c r="AT106" s="6" t="str">
        <f>HYPERLINK("http://www.worldcat.org/oclc/387133","WorldCat Record")</f>
        <v>WorldCat Record</v>
      </c>
      <c r="AU106" s="3" t="s">
        <v>1452</v>
      </c>
      <c r="AV106" s="3" t="s">
        <v>1453</v>
      </c>
      <c r="AW106" s="3" t="s">
        <v>1454</v>
      </c>
      <c r="AX106" s="3" t="s">
        <v>1454</v>
      </c>
      <c r="AY106" s="3" t="s">
        <v>1455</v>
      </c>
      <c r="AZ106" s="3" t="s">
        <v>75</v>
      </c>
      <c r="BC106" s="3" t="s">
        <v>1456</v>
      </c>
      <c r="BD106" s="3" t="s">
        <v>1457</v>
      </c>
    </row>
    <row r="107" spans="1:56" ht="39" customHeight="1" x14ac:dyDescent="0.25">
      <c r="A107" s="7" t="s">
        <v>58</v>
      </c>
      <c r="B107" s="2" t="s">
        <v>1444</v>
      </c>
      <c r="C107" s="2" t="s">
        <v>1445</v>
      </c>
      <c r="D107" s="2" t="s">
        <v>1446</v>
      </c>
      <c r="F107" s="3" t="s">
        <v>58</v>
      </c>
      <c r="G107" s="3" t="s">
        <v>59</v>
      </c>
      <c r="H107" s="3" t="s">
        <v>132</v>
      </c>
      <c r="I107" s="3" t="s">
        <v>58</v>
      </c>
      <c r="J107" s="3" t="s">
        <v>60</v>
      </c>
      <c r="K107" s="2" t="s">
        <v>1447</v>
      </c>
      <c r="L107" s="2" t="s">
        <v>1448</v>
      </c>
      <c r="M107" s="3" t="s">
        <v>1449</v>
      </c>
      <c r="O107" s="3" t="s">
        <v>65</v>
      </c>
      <c r="P107" s="3" t="s">
        <v>158</v>
      </c>
      <c r="R107" s="3" t="s">
        <v>68</v>
      </c>
      <c r="S107" s="4">
        <v>2</v>
      </c>
      <c r="T107" s="4">
        <v>4</v>
      </c>
      <c r="U107" s="5" t="s">
        <v>1451</v>
      </c>
      <c r="V107" s="5" t="s">
        <v>1451</v>
      </c>
      <c r="W107" s="5" t="s">
        <v>1048</v>
      </c>
      <c r="X107" s="5" t="s">
        <v>1048</v>
      </c>
      <c r="Y107" s="4">
        <v>677</v>
      </c>
      <c r="Z107" s="4">
        <v>640</v>
      </c>
      <c r="AA107" s="4">
        <v>642</v>
      </c>
      <c r="AB107" s="4">
        <v>7</v>
      </c>
      <c r="AC107" s="4">
        <v>7</v>
      </c>
      <c r="AD107" s="4">
        <v>39</v>
      </c>
      <c r="AE107" s="4">
        <v>39</v>
      </c>
      <c r="AF107" s="4">
        <v>11</v>
      </c>
      <c r="AG107" s="4">
        <v>11</v>
      </c>
      <c r="AH107" s="4">
        <v>7</v>
      </c>
      <c r="AI107" s="4">
        <v>7</v>
      </c>
      <c r="AJ107" s="4">
        <v>23</v>
      </c>
      <c r="AK107" s="4">
        <v>23</v>
      </c>
      <c r="AL107" s="4">
        <v>4</v>
      </c>
      <c r="AM107" s="4">
        <v>4</v>
      </c>
      <c r="AN107" s="4">
        <v>4</v>
      </c>
      <c r="AO107" s="4">
        <v>4</v>
      </c>
      <c r="AP107" s="3" t="s">
        <v>58</v>
      </c>
      <c r="AQ107" s="3" t="s">
        <v>132</v>
      </c>
      <c r="AR107" s="6" t="str">
        <f>HYPERLINK("http://catalog.hathitrust.org/Record/001449785","HathiTrust Record")</f>
        <v>HathiTrust Record</v>
      </c>
      <c r="AS107" s="6" t="str">
        <f>HYPERLINK("https://creighton-primo.hosted.exlibrisgroup.com/primo-explore/search?tab=default_tab&amp;search_scope=EVERYTHING&amp;vid=01CRU&amp;lang=en_US&amp;offset=0&amp;query=any,contains,991002650909702656","Catalog Record")</f>
        <v>Catalog Record</v>
      </c>
      <c r="AT107" s="6" t="str">
        <f>HYPERLINK("http://www.worldcat.org/oclc/387133","WorldCat Record")</f>
        <v>WorldCat Record</v>
      </c>
      <c r="AU107" s="3" t="s">
        <v>1452</v>
      </c>
      <c r="AV107" s="3" t="s">
        <v>1453</v>
      </c>
      <c r="AW107" s="3" t="s">
        <v>1454</v>
      </c>
      <c r="AX107" s="3" t="s">
        <v>1454</v>
      </c>
      <c r="AY107" s="3" t="s">
        <v>1455</v>
      </c>
      <c r="AZ107" s="3" t="s">
        <v>75</v>
      </c>
      <c r="BC107" s="3" t="s">
        <v>1458</v>
      </c>
      <c r="BD107" s="3" t="s">
        <v>1459</v>
      </c>
    </row>
    <row r="108" spans="1:56" ht="39" customHeight="1" x14ac:dyDescent="0.25">
      <c r="A108" s="7" t="s">
        <v>58</v>
      </c>
      <c r="B108" s="2" t="s">
        <v>1460</v>
      </c>
      <c r="C108" s="2" t="s">
        <v>1461</v>
      </c>
      <c r="D108" s="2" t="s">
        <v>1462</v>
      </c>
      <c r="F108" s="3" t="s">
        <v>58</v>
      </c>
      <c r="G108" s="3" t="s">
        <v>59</v>
      </c>
      <c r="H108" s="3" t="s">
        <v>58</v>
      </c>
      <c r="I108" s="3" t="s">
        <v>58</v>
      </c>
      <c r="J108" s="3" t="s">
        <v>60</v>
      </c>
      <c r="K108" s="2" t="s">
        <v>1463</v>
      </c>
      <c r="L108" s="2" t="s">
        <v>1464</v>
      </c>
      <c r="M108" s="3" t="s">
        <v>318</v>
      </c>
      <c r="O108" s="3" t="s">
        <v>65</v>
      </c>
      <c r="P108" s="3" t="s">
        <v>274</v>
      </c>
      <c r="Q108" s="2" t="s">
        <v>1465</v>
      </c>
      <c r="R108" s="3" t="s">
        <v>68</v>
      </c>
      <c r="S108" s="4">
        <v>1</v>
      </c>
      <c r="T108" s="4">
        <v>1</v>
      </c>
      <c r="U108" s="5" t="s">
        <v>275</v>
      </c>
      <c r="V108" s="5" t="s">
        <v>275</v>
      </c>
      <c r="W108" s="5" t="s">
        <v>1466</v>
      </c>
      <c r="X108" s="5" t="s">
        <v>1466</v>
      </c>
      <c r="Y108" s="4">
        <v>223</v>
      </c>
      <c r="Z108" s="4">
        <v>201</v>
      </c>
      <c r="AA108" s="4">
        <v>201</v>
      </c>
      <c r="AB108" s="4">
        <v>4</v>
      </c>
      <c r="AC108" s="4">
        <v>4</v>
      </c>
      <c r="AD108" s="4">
        <v>17</v>
      </c>
      <c r="AE108" s="4">
        <v>17</v>
      </c>
      <c r="AF108" s="4">
        <v>7</v>
      </c>
      <c r="AG108" s="4">
        <v>7</v>
      </c>
      <c r="AH108" s="4">
        <v>3</v>
      </c>
      <c r="AI108" s="4">
        <v>3</v>
      </c>
      <c r="AJ108" s="4">
        <v>8</v>
      </c>
      <c r="AK108" s="4">
        <v>8</v>
      </c>
      <c r="AL108" s="4">
        <v>3</v>
      </c>
      <c r="AM108" s="4">
        <v>3</v>
      </c>
      <c r="AN108" s="4">
        <v>0</v>
      </c>
      <c r="AO108" s="4">
        <v>0</v>
      </c>
      <c r="AP108" s="3" t="s">
        <v>58</v>
      </c>
      <c r="AQ108" s="3" t="s">
        <v>58</v>
      </c>
      <c r="AS108" s="6" t="str">
        <f>HYPERLINK("https://creighton-primo.hosted.exlibrisgroup.com/primo-explore/search?tab=default_tab&amp;search_scope=EVERYTHING&amp;vid=01CRU&amp;lang=en_US&amp;offset=0&amp;query=any,contains,991002916929702656","Catalog Record")</f>
        <v>Catalog Record</v>
      </c>
      <c r="AT108" s="6" t="str">
        <f>HYPERLINK("http://www.worldcat.org/oclc/38566603","WorldCat Record")</f>
        <v>WorldCat Record</v>
      </c>
      <c r="AU108" s="3" t="s">
        <v>1467</v>
      </c>
      <c r="AV108" s="3" t="s">
        <v>1468</v>
      </c>
      <c r="AW108" s="3" t="s">
        <v>1469</v>
      </c>
      <c r="AX108" s="3" t="s">
        <v>1469</v>
      </c>
      <c r="AY108" s="3" t="s">
        <v>1470</v>
      </c>
      <c r="AZ108" s="3" t="s">
        <v>75</v>
      </c>
      <c r="BB108" s="3" t="s">
        <v>1471</v>
      </c>
      <c r="BC108" s="3" t="s">
        <v>1472</v>
      </c>
      <c r="BD108" s="3" t="s">
        <v>1473</v>
      </c>
    </row>
    <row r="109" spans="1:56" ht="39" customHeight="1" x14ac:dyDescent="0.25">
      <c r="A109" s="7" t="s">
        <v>58</v>
      </c>
      <c r="B109" s="2" t="s">
        <v>1474</v>
      </c>
      <c r="C109" s="2" t="s">
        <v>1475</v>
      </c>
      <c r="D109" s="2" t="s">
        <v>1476</v>
      </c>
      <c r="F109" s="3" t="s">
        <v>58</v>
      </c>
      <c r="G109" s="3" t="s">
        <v>59</v>
      </c>
      <c r="H109" s="3" t="s">
        <v>58</v>
      </c>
      <c r="I109" s="3" t="s">
        <v>58</v>
      </c>
      <c r="J109" s="3" t="s">
        <v>60</v>
      </c>
      <c r="K109" s="2" t="s">
        <v>1477</v>
      </c>
      <c r="L109" s="2" t="s">
        <v>414</v>
      </c>
      <c r="M109" s="3" t="s">
        <v>415</v>
      </c>
      <c r="O109" s="3" t="s">
        <v>65</v>
      </c>
      <c r="P109" s="3" t="s">
        <v>66</v>
      </c>
      <c r="R109" s="3" t="s">
        <v>68</v>
      </c>
      <c r="S109" s="4">
        <v>2</v>
      </c>
      <c r="T109" s="4">
        <v>2</v>
      </c>
      <c r="U109" s="5" t="s">
        <v>1478</v>
      </c>
      <c r="V109" s="5" t="s">
        <v>1478</v>
      </c>
      <c r="W109" s="5" t="s">
        <v>1209</v>
      </c>
      <c r="X109" s="5" t="s">
        <v>1209</v>
      </c>
      <c r="Y109" s="4">
        <v>245</v>
      </c>
      <c r="Z109" s="4">
        <v>187</v>
      </c>
      <c r="AA109" s="4">
        <v>196</v>
      </c>
      <c r="AB109" s="4">
        <v>3</v>
      </c>
      <c r="AC109" s="4">
        <v>3</v>
      </c>
      <c r="AD109" s="4">
        <v>15</v>
      </c>
      <c r="AE109" s="4">
        <v>16</v>
      </c>
      <c r="AF109" s="4">
        <v>5</v>
      </c>
      <c r="AG109" s="4">
        <v>5</v>
      </c>
      <c r="AH109" s="4">
        <v>3</v>
      </c>
      <c r="AI109" s="4">
        <v>3</v>
      </c>
      <c r="AJ109" s="4">
        <v>8</v>
      </c>
      <c r="AK109" s="4">
        <v>9</v>
      </c>
      <c r="AL109" s="4">
        <v>2</v>
      </c>
      <c r="AM109" s="4">
        <v>2</v>
      </c>
      <c r="AN109" s="4">
        <v>0</v>
      </c>
      <c r="AO109" s="4">
        <v>0</v>
      </c>
      <c r="AP109" s="3" t="s">
        <v>58</v>
      </c>
      <c r="AQ109" s="3" t="s">
        <v>132</v>
      </c>
      <c r="AR109" s="6" t="str">
        <f>HYPERLINK("http://catalog.hathitrust.org/Record/001413094","HathiTrust Record")</f>
        <v>HathiTrust Record</v>
      </c>
      <c r="AS109" s="6" t="str">
        <f>HYPERLINK("https://creighton-primo.hosted.exlibrisgroup.com/primo-explore/search?tab=default_tab&amp;search_scope=EVERYTHING&amp;vid=01CRU&amp;lang=en_US&amp;offset=0&amp;query=any,contains,991003234029702656","Catalog Record")</f>
        <v>Catalog Record</v>
      </c>
      <c r="AT109" s="6" t="str">
        <f>HYPERLINK("http://www.worldcat.org/oclc/758379","WorldCat Record")</f>
        <v>WorldCat Record</v>
      </c>
      <c r="AU109" s="3" t="s">
        <v>1479</v>
      </c>
      <c r="AV109" s="3" t="s">
        <v>1480</v>
      </c>
      <c r="AW109" s="3" t="s">
        <v>1481</v>
      </c>
      <c r="AX109" s="3" t="s">
        <v>1481</v>
      </c>
      <c r="AY109" s="3" t="s">
        <v>1482</v>
      </c>
      <c r="AZ109" s="3" t="s">
        <v>75</v>
      </c>
      <c r="BC109" s="3" t="s">
        <v>1483</v>
      </c>
      <c r="BD109" s="3" t="s">
        <v>1484</v>
      </c>
    </row>
    <row r="110" spans="1:56" ht="39" customHeight="1" x14ac:dyDescent="0.25">
      <c r="A110" s="7" t="s">
        <v>58</v>
      </c>
      <c r="B110" s="2" t="s">
        <v>1485</v>
      </c>
      <c r="C110" s="2" t="s">
        <v>1486</v>
      </c>
      <c r="D110" s="2" t="s">
        <v>1487</v>
      </c>
      <c r="F110" s="3" t="s">
        <v>58</v>
      </c>
      <c r="G110" s="3" t="s">
        <v>59</v>
      </c>
      <c r="H110" s="3" t="s">
        <v>58</v>
      </c>
      <c r="I110" s="3" t="s">
        <v>58</v>
      </c>
      <c r="J110" s="3" t="s">
        <v>60</v>
      </c>
      <c r="K110" s="2" t="s">
        <v>1488</v>
      </c>
      <c r="L110" s="2" t="s">
        <v>1489</v>
      </c>
      <c r="M110" s="3" t="s">
        <v>631</v>
      </c>
      <c r="O110" s="3" t="s">
        <v>1490</v>
      </c>
      <c r="P110" s="3" t="s">
        <v>129</v>
      </c>
      <c r="Q110" s="2" t="s">
        <v>1491</v>
      </c>
      <c r="R110" s="3" t="s">
        <v>68</v>
      </c>
      <c r="S110" s="4">
        <v>1</v>
      </c>
      <c r="T110" s="4">
        <v>1</v>
      </c>
      <c r="U110" s="5" t="s">
        <v>1492</v>
      </c>
      <c r="V110" s="5" t="s">
        <v>1492</v>
      </c>
      <c r="W110" s="5" t="s">
        <v>1209</v>
      </c>
      <c r="X110" s="5" t="s">
        <v>1209</v>
      </c>
      <c r="Y110" s="4">
        <v>58</v>
      </c>
      <c r="Z110" s="4">
        <v>45</v>
      </c>
      <c r="AA110" s="4">
        <v>46</v>
      </c>
      <c r="AB110" s="4">
        <v>1</v>
      </c>
      <c r="AC110" s="4">
        <v>1</v>
      </c>
      <c r="AD110" s="4">
        <v>5</v>
      </c>
      <c r="AE110" s="4">
        <v>5</v>
      </c>
      <c r="AF110" s="4">
        <v>0</v>
      </c>
      <c r="AG110" s="4">
        <v>0</v>
      </c>
      <c r="AH110" s="4">
        <v>3</v>
      </c>
      <c r="AI110" s="4">
        <v>3</v>
      </c>
      <c r="AJ110" s="4">
        <v>3</v>
      </c>
      <c r="AK110" s="4">
        <v>3</v>
      </c>
      <c r="AL110" s="4">
        <v>0</v>
      </c>
      <c r="AM110" s="4">
        <v>0</v>
      </c>
      <c r="AN110" s="4">
        <v>0</v>
      </c>
      <c r="AO110" s="4">
        <v>0</v>
      </c>
      <c r="AP110" s="3" t="s">
        <v>58</v>
      </c>
      <c r="AQ110" s="3" t="s">
        <v>132</v>
      </c>
      <c r="AR110" s="6" t="str">
        <f>HYPERLINK("http://catalog.hathitrust.org/Record/010396583","HathiTrust Record")</f>
        <v>HathiTrust Record</v>
      </c>
      <c r="AS110" s="6" t="str">
        <f>HYPERLINK("https://creighton-primo.hosted.exlibrisgroup.com/primo-explore/search?tab=default_tab&amp;search_scope=EVERYTHING&amp;vid=01CRU&amp;lang=en_US&amp;offset=0&amp;query=any,contains,991004638509702656","Catalog Record")</f>
        <v>Catalog Record</v>
      </c>
      <c r="AT110" s="6" t="str">
        <f>HYPERLINK("http://www.worldcat.org/oclc/4439592","WorldCat Record")</f>
        <v>WorldCat Record</v>
      </c>
      <c r="AU110" s="3" t="s">
        <v>1493</v>
      </c>
      <c r="AV110" s="3" t="s">
        <v>1494</v>
      </c>
      <c r="AW110" s="3" t="s">
        <v>1495</v>
      </c>
      <c r="AX110" s="3" t="s">
        <v>1495</v>
      </c>
      <c r="AY110" s="3" t="s">
        <v>1496</v>
      </c>
      <c r="AZ110" s="3" t="s">
        <v>75</v>
      </c>
      <c r="BC110" s="3" t="s">
        <v>1497</v>
      </c>
      <c r="BD110" s="3" t="s">
        <v>1498</v>
      </c>
    </row>
    <row r="111" spans="1:56" ht="39" customHeight="1" x14ac:dyDescent="0.25">
      <c r="A111" s="7" t="s">
        <v>58</v>
      </c>
      <c r="B111" s="2" t="s">
        <v>1499</v>
      </c>
      <c r="C111" s="2" t="s">
        <v>1500</v>
      </c>
      <c r="D111" s="2" t="s">
        <v>1501</v>
      </c>
      <c r="F111" s="3" t="s">
        <v>58</v>
      </c>
      <c r="G111" s="3" t="s">
        <v>59</v>
      </c>
      <c r="H111" s="3" t="s">
        <v>58</v>
      </c>
      <c r="I111" s="3" t="s">
        <v>58</v>
      </c>
      <c r="J111" s="3" t="s">
        <v>60</v>
      </c>
      <c r="K111" s="2" t="s">
        <v>1502</v>
      </c>
      <c r="L111" s="2" t="s">
        <v>1503</v>
      </c>
      <c r="M111" s="3" t="s">
        <v>144</v>
      </c>
      <c r="O111" s="3" t="s">
        <v>1490</v>
      </c>
      <c r="P111" s="3" t="s">
        <v>129</v>
      </c>
      <c r="Q111" s="2" t="s">
        <v>1504</v>
      </c>
      <c r="R111" s="3" t="s">
        <v>68</v>
      </c>
      <c r="S111" s="4">
        <v>0</v>
      </c>
      <c r="T111" s="4">
        <v>0</v>
      </c>
      <c r="U111" s="5" t="s">
        <v>1505</v>
      </c>
      <c r="V111" s="5" t="s">
        <v>1505</v>
      </c>
      <c r="W111" s="5" t="s">
        <v>1209</v>
      </c>
      <c r="X111" s="5" t="s">
        <v>1209</v>
      </c>
      <c r="Y111" s="4">
        <v>52</v>
      </c>
      <c r="Z111" s="4">
        <v>40</v>
      </c>
      <c r="AA111" s="4">
        <v>41</v>
      </c>
      <c r="AB111" s="4">
        <v>1</v>
      </c>
      <c r="AC111" s="4">
        <v>1</v>
      </c>
      <c r="AD111" s="4">
        <v>4</v>
      </c>
      <c r="AE111" s="4">
        <v>4</v>
      </c>
      <c r="AF111" s="4">
        <v>0</v>
      </c>
      <c r="AG111" s="4">
        <v>0</v>
      </c>
      <c r="AH111" s="4">
        <v>2</v>
      </c>
      <c r="AI111" s="4">
        <v>2</v>
      </c>
      <c r="AJ111" s="4">
        <v>3</v>
      </c>
      <c r="AK111" s="4">
        <v>3</v>
      </c>
      <c r="AL111" s="4">
        <v>0</v>
      </c>
      <c r="AM111" s="4">
        <v>0</v>
      </c>
      <c r="AN111" s="4">
        <v>0</v>
      </c>
      <c r="AO111" s="4">
        <v>0</v>
      </c>
      <c r="AP111" s="3" t="s">
        <v>58</v>
      </c>
      <c r="AQ111" s="3" t="s">
        <v>132</v>
      </c>
      <c r="AR111" s="6" t="str">
        <f>HYPERLINK("http://catalog.hathitrust.org/Record/003329179","HathiTrust Record")</f>
        <v>HathiTrust Record</v>
      </c>
      <c r="AS111" s="6" t="str">
        <f>HYPERLINK("https://creighton-primo.hosted.exlibrisgroup.com/primo-explore/search?tab=default_tab&amp;search_scope=EVERYTHING&amp;vid=01CRU&amp;lang=en_US&amp;offset=0&amp;query=any,contains,991005008099702656","Catalog Record")</f>
        <v>Catalog Record</v>
      </c>
      <c r="AT111" s="6" t="str">
        <f>HYPERLINK("http://www.worldcat.org/oclc/6581231","WorldCat Record")</f>
        <v>WorldCat Record</v>
      </c>
      <c r="AU111" s="3" t="s">
        <v>1506</v>
      </c>
      <c r="AV111" s="3" t="s">
        <v>1507</v>
      </c>
      <c r="AW111" s="3" t="s">
        <v>1508</v>
      </c>
      <c r="AX111" s="3" t="s">
        <v>1508</v>
      </c>
      <c r="AY111" s="3" t="s">
        <v>1509</v>
      </c>
      <c r="AZ111" s="3" t="s">
        <v>75</v>
      </c>
      <c r="BC111" s="3" t="s">
        <v>1510</v>
      </c>
      <c r="BD111" s="3" t="s">
        <v>1511</v>
      </c>
    </row>
    <row r="112" spans="1:56" ht="39" customHeight="1" x14ac:dyDescent="0.25">
      <c r="A112" s="7" t="s">
        <v>58</v>
      </c>
      <c r="B112" s="2" t="s">
        <v>1512</v>
      </c>
      <c r="C112" s="2" t="s">
        <v>1513</v>
      </c>
      <c r="D112" s="2" t="s">
        <v>1514</v>
      </c>
      <c r="F112" s="3" t="s">
        <v>58</v>
      </c>
      <c r="G112" s="3" t="s">
        <v>59</v>
      </c>
      <c r="H112" s="3" t="s">
        <v>58</v>
      </c>
      <c r="I112" s="3" t="s">
        <v>58</v>
      </c>
      <c r="J112" s="3" t="s">
        <v>60</v>
      </c>
      <c r="K112" s="2" t="s">
        <v>1515</v>
      </c>
      <c r="L112" s="2" t="s">
        <v>1516</v>
      </c>
      <c r="M112" s="3" t="s">
        <v>462</v>
      </c>
      <c r="O112" s="3" t="s">
        <v>1490</v>
      </c>
      <c r="P112" s="3" t="s">
        <v>129</v>
      </c>
      <c r="Q112" s="2" t="s">
        <v>1517</v>
      </c>
      <c r="R112" s="3" t="s">
        <v>68</v>
      </c>
      <c r="S112" s="4">
        <v>1</v>
      </c>
      <c r="T112" s="4">
        <v>1</v>
      </c>
      <c r="U112" s="5" t="s">
        <v>1518</v>
      </c>
      <c r="V112" s="5" t="s">
        <v>1518</v>
      </c>
      <c r="W112" s="5" t="s">
        <v>1519</v>
      </c>
      <c r="X112" s="5" t="s">
        <v>1519</v>
      </c>
      <c r="Y112" s="4">
        <v>39</v>
      </c>
      <c r="Z112" s="4">
        <v>23</v>
      </c>
      <c r="AA112" s="4">
        <v>28</v>
      </c>
      <c r="AB112" s="4">
        <v>1</v>
      </c>
      <c r="AC112" s="4">
        <v>1</v>
      </c>
      <c r="AD112" s="4">
        <v>1</v>
      </c>
      <c r="AE112" s="4">
        <v>2</v>
      </c>
      <c r="AF112" s="4">
        <v>0</v>
      </c>
      <c r="AG112" s="4">
        <v>0</v>
      </c>
      <c r="AH112" s="4">
        <v>1</v>
      </c>
      <c r="AI112" s="4">
        <v>1</v>
      </c>
      <c r="AJ112" s="4">
        <v>1</v>
      </c>
      <c r="AK112" s="4">
        <v>2</v>
      </c>
      <c r="AL112" s="4">
        <v>0</v>
      </c>
      <c r="AM112" s="4">
        <v>0</v>
      </c>
      <c r="AN112" s="4">
        <v>0</v>
      </c>
      <c r="AO112" s="4">
        <v>0</v>
      </c>
      <c r="AP112" s="3" t="s">
        <v>58</v>
      </c>
      <c r="AQ112" s="3" t="s">
        <v>58</v>
      </c>
      <c r="AS112" s="6" t="str">
        <f>HYPERLINK("https://creighton-primo.hosted.exlibrisgroup.com/primo-explore/search?tab=default_tab&amp;search_scope=EVERYTHING&amp;vid=01CRU&amp;lang=en_US&amp;offset=0&amp;query=any,contains,991000780209702656","Catalog Record")</f>
        <v>Catalog Record</v>
      </c>
      <c r="AT112" s="6" t="str">
        <f>HYPERLINK("http://www.worldcat.org/oclc/13095143","WorldCat Record")</f>
        <v>WorldCat Record</v>
      </c>
      <c r="AU112" s="3" t="s">
        <v>1520</v>
      </c>
      <c r="AV112" s="3" t="s">
        <v>1521</v>
      </c>
      <c r="AW112" s="3" t="s">
        <v>1522</v>
      </c>
      <c r="AX112" s="3" t="s">
        <v>1522</v>
      </c>
      <c r="AY112" s="3" t="s">
        <v>1523</v>
      </c>
      <c r="AZ112" s="3" t="s">
        <v>75</v>
      </c>
      <c r="BC112" s="3" t="s">
        <v>1524</v>
      </c>
      <c r="BD112" s="3" t="s">
        <v>1525</v>
      </c>
    </row>
    <row r="113" spans="1:56" ht="39" customHeight="1" x14ac:dyDescent="0.25">
      <c r="A113" s="7" t="s">
        <v>58</v>
      </c>
      <c r="B113" s="2" t="s">
        <v>1526</v>
      </c>
      <c r="C113" s="2" t="s">
        <v>1527</v>
      </c>
      <c r="D113" s="2" t="s">
        <v>1528</v>
      </c>
      <c r="F113" s="3" t="s">
        <v>58</v>
      </c>
      <c r="G113" s="3" t="s">
        <v>59</v>
      </c>
      <c r="H113" s="3" t="s">
        <v>58</v>
      </c>
      <c r="I113" s="3" t="s">
        <v>58</v>
      </c>
      <c r="J113" s="3" t="s">
        <v>60</v>
      </c>
      <c r="K113" s="2" t="s">
        <v>1529</v>
      </c>
      <c r="L113" s="2" t="s">
        <v>1530</v>
      </c>
      <c r="M113" s="3" t="s">
        <v>655</v>
      </c>
      <c r="O113" s="3" t="s">
        <v>65</v>
      </c>
      <c r="P113" s="3" t="s">
        <v>954</v>
      </c>
      <c r="R113" s="3" t="s">
        <v>68</v>
      </c>
      <c r="S113" s="4">
        <v>6</v>
      </c>
      <c r="T113" s="4">
        <v>6</v>
      </c>
      <c r="U113" s="5" t="s">
        <v>1222</v>
      </c>
      <c r="V113" s="5" t="s">
        <v>1222</v>
      </c>
      <c r="W113" s="5" t="s">
        <v>1209</v>
      </c>
      <c r="X113" s="5" t="s">
        <v>1209</v>
      </c>
      <c r="Y113" s="4">
        <v>124</v>
      </c>
      <c r="Z113" s="4">
        <v>105</v>
      </c>
      <c r="AA113" s="4">
        <v>379</v>
      </c>
      <c r="AB113" s="4">
        <v>1</v>
      </c>
      <c r="AC113" s="4">
        <v>2</v>
      </c>
      <c r="AD113" s="4">
        <v>4</v>
      </c>
      <c r="AE113" s="4">
        <v>19</v>
      </c>
      <c r="AF113" s="4">
        <v>2</v>
      </c>
      <c r="AG113" s="4">
        <v>5</v>
      </c>
      <c r="AH113" s="4">
        <v>1</v>
      </c>
      <c r="AI113" s="4">
        <v>4</v>
      </c>
      <c r="AJ113" s="4">
        <v>3</v>
      </c>
      <c r="AK113" s="4">
        <v>13</v>
      </c>
      <c r="AL113" s="4">
        <v>0</v>
      </c>
      <c r="AM113" s="4">
        <v>1</v>
      </c>
      <c r="AN113" s="4">
        <v>0</v>
      </c>
      <c r="AO113" s="4">
        <v>0</v>
      </c>
      <c r="AP113" s="3" t="s">
        <v>58</v>
      </c>
      <c r="AQ113" s="3" t="s">
        <v>132</v>
      </c>
      <c r="AR113" s="6" t="str">
        <f>HYPERLINK("http://catalog.hathitrust.org/Record/007117273","HathiTrust Record")</f>
        <v>HathiTrust Record</v>
      </c>
      <c r="AS113" s="6" t="str">
        <f>HYPERLINK("https://creighton-primo.hosted.exlibrisgroup.com/primo-explore/search?tab=default_tab&amp;search_scope=EVERYTHING&amp;vid=01CRU&amp;lang=en_US&amp;offset=0&amp;query=any,contains,991003826709702656","Catalog Record")</f>
        <v>Catalog Record</v>
      </c>
      <c r="AT113" s="6" t="str">
        <f>HYPERLINK("http://www.worldcat.org/oclc/1578709","WorldCat Record")</f>
        <v>WorldCat Record</v>
      </c>
      <c r="AU113" s="3" t="s">
        <v>1531</v>
      </c>
      <c r="AV113" s="3" t="s">
        <v>1532</v>
      </c>
      <c r="AW113" s="3" t="s">
        <v>1533</v>
      </c>
      <c r="AX113" s="3" t="s">
        <v>1533</v>
      </c>
      <c r="AY113" s="3" t="s">
        <v>1534</v>
      </c>
      <c r="AZ113" s="3" t="s">
        <v>75</v>
      </c>
      <c r="BB113" s="3" t="s">
        <v>1535</v>
      </c>
      <c r="BC113" s="3" t="s">
        <v>1536</v>
      </c>
      <c r="BD113" s="3" t="s">
        <v>1537</v>
      </c>
    </row>
    <row r="114" spans="1:56" ht="39" customHeight="1" x14ac:dyDescent="0.25">
      <c r="A114" s="7" t="s">
        <v>58</v>
      </c>
      <c r="B114" s="2" t="s">
        <v>1538</v>
      </c>
      <c r="C114" s="2" t="s">
        <v>1539</v>
      </c>
      <c r="D114" s="2" t="s">
        <v>1540</v>
      </c>
      <c r="F114" s="3" t="s">
        <v>58</v>
      </c>
      <c r="G114" s="3" t="s">
        <v>59</v>
      </c>
      <c r="H114" s="3" t="s">
        <v>58</v>
      </c>
      <c r="I114" s="3" t="s">
        <v>58</v>
      </c>
      <c r="J114" s="3" t="s">
        <v>60</v>
      </c>
      <c r="K114" s="2" t="s">
        <v>1541</v>
      </c>
      <c r="L114" s="2" t="s">
        <v>1542</v>
      </c>
      <c r="M114" s="3" t="s">
        <v>1449</v>
      </c>
      <c r="O114" s="3" t="s">
        <v>65</v>
      </c>
      <c r="P114" s="3" t="s">
        <v>492</v>
      </c>
      <c r="R114" s="3" t="s">
        <v>68</v>
      </c>
      <c r="S114" s="4">
        <v>1</v>
      </c>
      <c r="T114" s="4">
        <v>1</v>
      </c>
      <c r="U114" s="5" t="s">
        <v>1543</v>
      </c>
      <c r="V114" s="5" t="s">
        <v>1543</v>
      </c>
      <c r="W114" s="5" t="s">
        <v>1209</v>
      </c>
      <c r="X114" s="5" t="s">
        <v>1209</v>
      </c>
      <c r="Y114" s="4">
        <v>127</v>
      </c>
      <c r="Z114" s="4">
        <v>117</v>
      </c>
      <c r="AA114" s="4">
        <v>200</v>
      </c>
      <c r="AB114" s="4">
        <v>2</v>
      </c>
      <c r="AC114" s="4">
        <v>2</v>
      </c>
      <c r="AD114" s="4">
        <v>24</v>
      </c>
      <c r="AE114" s="4">
        <v>29</v>
      </c>
      <c r="AF114" s="4">
        <v>8</v>
      </c>
      <c r="AG114" s="4">
        <v>10</v>
      </c>
      <c r="AH114" s="4">
        <v>3</v>
      </c>
      <c r="AI114" s="4">
        <v>6</v>
      </c>
      <c r="AJ114" s="4">
        <v>18</v>
      </c>
      <c r="AK114" s="4">
        <v>21</v>
      </c>
      <c r="AL114" s="4">
        <v>0</v>
      </c>
      <c r="AM114" s="4">
        <v>0</v>
      </c>
      <c r="AN114" s="4">
        <v>0</v>
      </c>
      <c r="AO114" s="4">
        <v>0</v>
      </c>
      <c r="AP114" s="3" t="s">
        <v>58</v>
      </c>
      <c r="AQ114" s="3" t="s">
        <v>58</v>
      </c>
      <c r="AR114" s="6" t="str">
        <f>HYPERLINK("http://catalog.hathitrust.org/Record/001413102","HathiTrust Record")</f>
        <v>HathiTrust Record</v>
      </c>
      <c r="AS114" s="6" t="str">
        <f>HYPERLINK("https://creighton-primo.hosted.exlibrisgroup.com/primo-explore/search?tab=default_tab&amp;search_scope=EVERYTHING&amp;vid=01CRU&amp;lang=en_US&amp;offset=0&amp;query=any,contains,991003431829702656","Catalog Record")</f>
        <v>Catalog Record</v>
      </c>
      <c r="AT114" s="6" t="str">
        <f>HYPERLINK("http://www.worldcat.org/oclc/966733","WorldCat Record")</f>
        <v>WorldCat Record</v>
      </c>
      <c r="AU114" s="3" t="s">
        <v>1544</v>
      </c>
      <c r="AV114" s="3" t="s">
        <v>1545</v>
      </c>
      <c r="AW114" s="3" t="s">
        <v>1546</v>
      </c>
      <c r="AX114" s="3" t="s">
        <v>1546</v>
      </c>
      <c r="AY114" s="3" t="s">
        <v>1547</v>
      </c>
      <c r="AZ114" s="3" t="s">
        <v>75</v>
      </c>
      <c r="BC114" s="3" t="s">
        <v>1548</v>
      </c>
      <c r="BD114" s="3" t="s">
        <v>1549</v>
      </c>
    </row>
    <row r="115" spans="1:56" ht="39" customHeight="1" x14ac:dyDescent="0.25">
      <c r="A115" s="7" t="s">
        <v>58</v>
      </c>
      <c r="B115" s="2" t="s">
        <v>1550</v>
      </c>
      <c r="C115" s="2" t="s">
        <v>1551</v>
      </c>
      <c r="D115" s="2" t="s">
        <v>1552</v>
      </c>
      <c r="F115" s="3" t="s">
        <v>58</v>
      </c>
      <c r="G115" s="3" t="s">
        <v>59</v>
      </c>
      <c r="H115" s="3" t="s">
        <v>58</v>
      </c>
      <c r="I115" s="3" t="s">
        <v>58</v>
      </c>
      <c r="J115" s="3" t="s">
        <v>60</v>
      </c>
      <c r="K115" s="2" t="s">
        <v>1553</v>
      </c>
      <c r="L115" s="2" t="s">
        <v>1554</v>
      </c>
      <c r="M115" s="3" t="s">
        <v>1261</v>
      </c>
      <c r="O115" s="3" t="s">
        <v>65</v>
      </c>
      <c r="P115" s="3" t="s">
        <v>113</v>
      </c>
      <c r="R115" s="3" t="s">
        <v>68</v>
      </c>
      <c r="S115" s="4">
        <v>5</v>
      </c>
      <c r="T115" s="4">
        <v>5</v>
      </c>
      <c r="U115" s="5" t="s">
        <v>1555</v>
      </c>
      <c r="V115" s="5" t="s">
        <v>1555</v>
      </c>
      <c r="W115" s="5" t="s">
        <v>115</v>
      </c>
      <c r="X115" s="5" t="s">
        <v>115</v>
      </c>
      <c r="Y115" s="4">
        <v>123</v>
      </c>
      <c r="Z115" s="4">
        <v>96</v>
      </c>
      <c r="AA115" s="4">
        <v>96</v>
      </c>
      <c r="AB115" s="4">
        <v>1</v>
      </c>
      <c r="AC115" s="4">
        <v>1</v>
      </c>
      <c r="AD115" s="4">
        <v>11</v>
      </c>
      <c r="AE115" s="4">
        <v>11</v>
      </c>
      <c r="AF115" s="4">
        <v>2</v>
      </c>
      <c r="AG115" s="4">
        <v>2</v>
      </c>
      <c r="AH115" s="4">
        <v>3</v>
      </c>
      <c r="AI115" s="4">
        <v>3</v>
      </c>
      <c r="AJ115" s="4">
        <v>8</v>
      </c>
      <c r="AK115" s="4">
        <v>8</v>
      </c>
      <c r="AL115" s="4">
        <v>0</v>
      </c>
      <c r="AM115" s="4">
        <v>0</v>
      </c>
      <c r="AN115" s="4">
        <v>0</v>
      </c>
      <c r="AO115" s="4">
        <v>0</v>
      </c>
      <c r="AP115" s="3" t="s">
        <v>58</v>
      </c>
      <c r="AQ115" s="3" t="s">
        <v>58</v>
      </c>
      <c r="AS115" s="6" t="str">
        <f>HYPERLINK("https://creighton-primo.hosted.exlibrisgroup.com/primo-explore/search?tab=default_tab&amp;search_scope=EVERYTHING&amp;vid=01CRU&amp;lang=en_US&amp;offset=0&amp;query=any,contains,991001896229702656","Catalog Record")</f>
        <v>Catalog Record</v>
      </c>
      <c r="AT115" s="6" t="str">
        <f>HYPERLINK("http://www.worldcat.org/oclc/23960261","WorldCat Record")</f>
        <v>WorldCat Record</v>
      </c>
      <c r="AU115" s="3" t="s">
        <v>1556</v>
      </c>
      <c r="AV115" s="3" t="s">
        <v>1557</v>
      </c>
      <c r="AW115" s="3" t="s">
        <v>1558</v>
      </c>
      <c r="AX115" s="3" t="s">
        <v>1558</v>
      </c>
      <c r="AY115" s="3" t="s">
        <v>1559</v>
      </c>
      <c r="AZ115" s="3" t="s">
        <v>75</v>
      </c>
      <c r="BB115" s="3" t="s">
        <v>1560</v>
      </c>
      <c r="BC115" s="3" t="s">
        <v>1561</v>
      </c>
      <c r="BD115" s="3" t="s">
        <v>1562</v>
      </c>
    </row>
    <row r="116" spans="1:56" ht="39" customHeight="1" x14ac:dyDescent="0.25">
      <c r="A116" s="7" t="s">
        <v>58</v>
      </c>
      <c r="B116" s="2" t="s">
        <v>1563</v>
      </c>
      <c r="C116" s="2" t="s">
        <v>1564</v>
      </c>
      <c r="D116" s="2" t="s">
        <v>1565</v>
      </c>
      <c r="F116" s="3" t="s">
        <v>58</v>
      </c>
      <c r="G116" s="3" t="s">
        <v>59</v>
      </c>
      <c r="H116" s="3" t="s">
        <v>58</v>
      </c>
      <c r="I116" s="3" t="s">
        <v>58</v>
      </c>
      <c r="J116" s="3" t="s">
        <v>60</v>
      </c>
      <c r="K116" s="2" t="s">
        <v>1566</v>
      </c>
      <c r="L116" s="2" t="s">
        <v>1567</v>
      </c>
      <c r="M116" s="3" t="s">
        <v>361</v>
      </c>
      <c r="O116" s="3" t="s">
        <v>65</v>
      </c>
      <c r="P116" s="3" t="s">
        <v>186</v>
      </c>
      <c r="R116" s="3" t="s">
        <v>68</v>
      </c>
      <c r="S116" s="4">
        <v>3</v>
      </c>
      <c r="T116" s="4">
        <v>3</v>
      </c>
      <c r="U116" s="5" t="s">
        <v>1568</v>
      </c>
      <c r="V116" s="5" t="s">
        <v>1568</v>
      </c>
      <c r="W116" s="5" t="s">
        <v>1209</v>
      </c>
      <c r="X116" s="5" t="s">
        <v>1209</v>
      </c>
      <c r="Y116" s="4">
        <v>153</v>
      </c>
      <c r="Z116" s="4">
        <v>129</v>
      </c>
      <c r="AA116" s="4">
        <v>134</v>
      </c>
      <c r="AB116" s="4">
        <v>1</v>
      </c>
      <c r="AC116" s="4">
        <v>1</v>
      </c>
      <c r="AD116" s="4">
        <v>14</v>
      </c>
      <c r="AE116" s="4">
        <v>14</v>
      </c>
      <c r="AF116" s="4">
        <v>2</v>
      </c>
      <c r="AG116" s="4">
        <v>2</v>
      </c>
      <c r="AH116" s="4">
        <v>3</v>
      </c>
      <c r="AI116" s="4">
        <v>3</v>
      </c>
      <c r="AJ116" s="4">
        <v>11</v>
      </c>
      <c r="AK116" s="4">
        <v>11</v>
      </c>
      <c r="AL116" s="4">
        <v>0</v>
      </c>
      <c r="AM116" s="4">
        <v>0</v>
      </c>
      <c r="AN116" s="4">
        <v>0</v>
      </c>
      <c r="AO116" s="4">
        <v>0</v>
      </c>
      <c r="AP116" s="3" t="s">
        <v>58</v>
      </c>
      <c r="AQ116" s="3" t="s">
        <v>58</v>
      </c>
      <c r="AS116" s="6" t="str">
        <f>HYPERLINK("https://creighton-primo.hosted.exlibrisgroup.com/primo-explore/search?tab=default_tab&amp;search_scope=EVERYTHING&amp;vid=01CRU&amp;lang=en_US&amp;offset=0&amp;query=any,contains,991000270859702656","Catalog Record")</f>
        <v>Catalog Record</v>
      </c>
      <c r="AT116" s="6" t="str">
        <f>HYPERLINK("http://www.worldcat.org/oclc/9854129","WorldCat Record")</f>
        <v>WorldCat Record</v>
      </c>
      <c r="AU116" s="3" t="s">
        <v>1569</v>
      </c>
      <c r="AV116" s="3" t="s">
        <v>1570</v>
      </c>
      <c r="AW116" s="3" t="s">
        <v>1571</v>
      </c>
      <c r="AX116" s="3" t="s">
        <v>1571</v>
      </c>
      <c r="AY116" s="3" t="s">
        <v>1572</v>
      </c>
      <c r="AZ116" s="3" t="s">
        <v>75</v>
      </c>
      <c r="BB116" s="3" t="s">
        <v>1573</v>
      </c>
      <c r="BC116" s="3" t="s">
        <v>1574</v>
      </c>
      <c r="BD116" s="3" t="s">
        <v>1575</v>
      </c>
    </row>
    <row r="117" spans="1:56" ht="39" customHeight="1" x14ac:dyDescent="0.25">
      <c r="A117" s="7" t="s">
        <v>58</v>
      </c>
      <c r="B117" s="2" t="s">
        <v>1576</v>
      </c>
      <c r="C117" s="2" t="s">
        <v>1577</v>
      </c>
      <c r="D117" s="2" t="s">
        <v>1578</v>
      </c>
      <c r="F117" s="3" t="s">
        <v>58</v>
      </c>
      <c r="G117" s="3" t="s">
        <v>59</v>
      </c>
      <c r="H117" s="3" t="s">
        <v>58</v>
      </c>
      <c r="I117" s="3" t="s">
        <v>58</v>
      </c>
      <c r="J117" s="3" t="s">
        <v>60</v>
      </c>
      <c r="K117" s="2" t="s">
        <v>1579</v>
      </c>
      <c r="L117" s="2" t="s">
        <v>1580</v>
      </c>
      <c r="M117" s="3" t="s">
        <v>215</v>
      </c>
      <c r="O117" s="3" t="s">
        <v>65</v>
      </c>
      <c r="P117" s="3" t="s">
        <v>113</v>
      </c>
      <c r="R117" s="3" t="s">
        <v>68</v>
      </c>
      <c r="S117" s="4">
        <v>4</v>
      </c>
      <c r="T117" s="4">
        <v>4</v>
      </c>
      <c r="U117" s="5" t="s">
        <v>1581</v>
      </c>
      <c r="V117" s="5" t="s">
        <v>1581</v>
      </c>
      <c r="W117" s="5" t="s">
        <v>1582</v>
      </c>
      <c r="X117" s="5" t="s">
        <v>1582</v>
      </c>
      <c r="Y117" s="4">
        <v>166</v>
      </c>
      <c r="Z117" s="4">
        <v>131</v>
      </c>
      <c r="AA117" s="4">
        <v>132</v>
      </c>
      <c r="AB117" s="4">
        <v>2</v>
      </c>
      <c r="AC117" s="4">
        <v>2</v>
      </c>
      <c r="AD117" s="4">
        <v>16</v>
      </c>
      <c r="AE117" s="4">
        <v>16</v>
      </c>
      <c r="AF117" s="4">
        <v>4</v>
      </c>
      <c r="AG117" s="4">
        <v>4</v>
      </c>
      <c r="AH117" s="4">
        <v>4</v>
      </c>
      <c r="AI117" s="4">
        <v>4</v>
      </c>
      <c r="AJ117" s="4">
        <v>10</v>
      </c>
      <c r="AK117" s="4">
        <v>10</v>
      </c>
      <c r="AL117" s="4">
        <v>1</v>
      </c>
      <c r="AM117" s="4">
        <v>1</v>
      </c>
      <c r="AN117" s="4">
        <v>0</v>
      </c>
      <c r="AO117" s="4">
        <v>0</v>
      </c>
      <c r="AP117" s="3" t="s">
        <v>58</v>
      </c>
      <c r="AQ117" s="3" t="s">
        <v>58</v>
      </c>
      <c r="AS117" s="6" t="str">
        <f>HYPERLINK("https://creighton-primo.hosted.exlibrisgroup.com/primo-explore/search?tab=default_tab&amp;search_scope=EVERYTHING&amp;vid=01CRU&amp;lang=en_US&amp;offset=0&amp;query=any,contains,991001113579702656","Catalog Record")</f>
        <v>Catalog Record</v>
      </c>
      <c r="AT117" s="6" t="str">
        <f>HYPERLINK("http://www.worldcat.org/oclc/16518035","WorldCat Record")</f>
        <v>WorldCat Record</v>
      </c>
      <c r="AU117" s="3" t="s">
        <v>1583</v>
      </c>
      <c r="AV117" s="3" t="s">
        <v>1584</v>
      </c>
      <c r="AW117" s="3" t="s">
        <v>1585</v>
      </c>
      <c r="AX117" s="3" t="s">
        <v>1585</v>
      </c>
      <c r="AY117" s="3" t="s">
        <v>1586</v>
      </c>
      <c r="AZ117" s="3" t="s">
        <v>75</v>
      </c>
      <c r="BB117" s="3" t="s">
        <v>1587</v>
      </c>
      <c r="BC117" s="3" t="s">
        <v>1588</v>
      </c>
      <c r="BD117" s="3" t="s">
        <v>1589</v>
      </c>
    </row>
    <row r="118" spans="1:56" ht="39" customHeight="1" x14ac:dyDescent="0.25">
      <c r="A118" s="7" t="s">
        <v>58</v>
      </c>
      <c r="B118" s="2" t="s">
        <v>1590</v>
      </c>
      <c r="C118" s="2" t="s">
        <v>1591</v>
      </c>
      <c r="D118" s="2" t="s">
        <v>1592</v>
      </c>
      <c r="F118" s="3" t="s">
        <v>58</v>
      </c>
      <c r="G118" s="3" t="s">
        <v>59</v>
      </c>
      <c r="H118" s="3" t="s">
        <v>58</v>
      </c>
      <c r="I118" s="3" t="s">
        <v>58</v>
      </c>
      <c r="J118" s="3" t="s">
        <v>60</v>
      </c>
      <c r="K118" s="2" t="s">
        <v>1593</v>
      </c>
      <c r="L118" s="2" t="s">
        <v>1580</v>
      </c>
      <c r="M118" s="3" t="s">
        <v>215</v>
      </c>
      <c r="O118" s="3" t="s">
        <v>65</v>
      </c>
      <c r="P118" s="3" t="s">
        <v>113</v>
      </c>
      <c r="R118" s="3" t="s">
        <v>68</v>
      </c>
      <c r="S118" s="4">
        <v>1</v>
      </c>
      <c r="T118" s="4">
        <v>1</v>
      </c>
      <c r="U118" s="5" t="s">
        <v>1594</v>
      </c>
      <c r="V118" s="5" t="s">
        <v>1594</v>
      </c>
      <c r="W118" s="5" t="s">
        <v>1595</v>
      </c>
      <c r="X118" s="5" t="s">
        <v>1595</v>
      </c>
      <c r="Y118" s="4">
        <v>169</v>
      </c>
      <c r="Z118" s="4">
        <v>132</v>
      </c>
      <c r="AA118" s="4">
        <v>138</v>
      </c>
      <c r="AB118" s="4">
        <v>1</v>
      </c>
      <c r="AC118" s="4">
        <v>1</v>
      </c>
      <c r="AD118" s="4">
        <v>16</v>
      </c>
      <c r="AE118" s="4">
        <v>16</v>
      </c>
      <c r="AF118" s="4">
        <v>5</v>
      </c>
      <c r="AG118" s="4">
        <v>5</v>
      </c>
      <c r="AH118" s="4">
        <v>3</v>
      </c>
      <c r="AI118" s="4">
        <v>3</v>
      </c>
      <c r="AJ118" s="4">
        <v>11</v>
      </c>
      <c r="AK118" s="4">
        <v>11</v>
      </c>
      <c r="AL118" s="4">
        <v>0</v>
      </c>
      <c r="AM118" s="4">
        <v>0</v>
      </c>
      <c r="AN118" s="4">
        <v>0</v>
      </c>
      <c r="AO118" s="4">
        <v>0</v>
      </c>
      <c r="AP118" s="3" t="s">
        <v>58</v>
      </c>
      <c r="AQ118" s="3" t="s">
        <v>58</v>
      </c>
      <c r="AS118" s="6" t="str">
        <f>HYPERLINK("https://creighton-primo.hosted.exlibrisgroup.com/primo-explore/search?tab=default_tab&amp;search_scope=EVERYTHING&amp;vid=01CRU&amp;lang=en_US&amp;offset=0&amp;query=any,contains,991001113609702656","Catalog Record")</f>
        <v>Catalog Record</v>
      </c>
      <c r="AT118" s="6" t="str">
        <f>HYPERLINK("http://www.worldcat.org/oclc/16518055","WorldCat Record")</f>
        <v>WorldCat Record</v>
      </c>
      <c r="AU118" s="3" t="s">
        <v>1596</v>
      </c>
      <c r="AV118" s="3" t="s">
        <v>1597</v>
      </c>
      <c r="AW118" s="3" t="s">
        <v>1598</v>
      </c>
      <c r="AX118" s="3" t="s">
        <v>1598</v>
      </c>
      <c r="AY118" s="3" t="s">
        <v>1599</v>
      </c>
      <c r="AZ118" s="3" t="s">
        <v>75</v>
      </c>
      <c r="BB118" s="3" t="s">
        <v>1600</v>
      </c>
      <c r="BC118" s="3" t="s">
        <v>1601</v>
      </c>
      <c r="BD118" s="3" t="s">
        <v>1602</v>
      </c>
    </row>
    <row r="119" spans="1:56" ht="39" customHeight="1" x14ac:dyDescent="0.25">
      <c r="A119" s="7" t="s">
        <v>58</v>
      </c>
      <c r="B119" s="2" t="s">
        <v>1603</v>
      </c>
      <c r="C119" s="2" t="s">
        <v>1604</v>
      </c>
      <c r="D119" s="2" t="s">
        <v>1605</v>
      </c>
      <c r="F119" s="3" t="s">
        <v>58</v>
      </c>
      <c r="G119" s="3" t="s">
        <v>59</v>
      </c>
      <c r="H119" s="3" t="s">
        <v>58</v>
      </c>
      <c r="I119" s="3" t="s">
        <v>58</v>
      </c>
      <c r="J119" s="3" t="s">
        <v>60</v>
      </c>
      <c r="K119" s="2" t="s">
        <v>1606</v>
      </c>
      <c r="L119" s="2" t="s">
        <v>1607</v>
      </c>
      <c r="M119" s="3" t="s">
        <v>303</v>
      </c>
      <c r="O119" s="3" t="s">
        <v>65</v>
      </c>
      <c r="P119" s="3" t="s">
        <v>186</v>
      </c>
      <c r="R119" s="3" t="s">
        <v>68</v>
      </c>
      <c r="S119" s="4">
        <v>5</v>
      </c>
      <c r="T119" s="4">
        <v>5</v>
      </c>
      <c r="U119" s="5" t="s">
        <v>1136</v>
      </c>
      <c r="V119" s="5" t="s">
        <v>1136</v>
      </c>
      <c r="W119" s="5" t="s">
        <v>1608</v>
      </c>
      <c r="X119" s="5" t="s">
        <v>1608</v>
      </c>
      <c r="Y119" s="4">
        <v>370</v>
      </c>
      <c r="Z119" s="4">
        <v>317</v>
      </c>
      <c r="AA119" s="4">
        <v>332</v>
      </c>
      <c r="AB119" s="4">
        <v>5</v>
      </c>
      <c r="AC119" s="4">
        <v>6</v>
      </c>
      <c r="AD119" s="4">
        <v>29</v>
      </c>
      <c r="AE119" s="4">
        <v>31</v>
      </c>
      <c r="AF119" s="4">
        <v>6</v>
      </c>
      <c r="AG119" s="4">
        <v>7</v>
      </c>
      <c r="AH119" s="4">
        <v>6</v>
      </c>
      <c r="AI119" s="4">
        <v>6</v>
      </c>
      <c r="AJ119" s="4">
        <v>21</v>
      </c>
      <c r="AK119" s="4">
        <v>21</v>
      </c>
      <c r="AL119" s="4">
        <v>3</v>
      </c>
      <c r="AM119" s="4">
        <v>4</v>
      </c>
      <c r="AN119" s="4">
        <v>0</v>
      </c>
      <c r="AO119" s="4">
        <v>0</v>
      </c>
      <c r="AP119" s="3" t="s">
        <v>58</v>
      </c>
      <c r="AQ119" s="3" t="s">
        <v>132</v>
      </c>
      <c r="AR119" s="6" t="str">
        <f>HYPERLINK("http://catalog.hathitrust.org/Record/006017261","HathiTrust Record")</f>
        <v>HathiTrust Record</v>
      </c>
      <c r="AS119" s="6" t="str">
        <f>HYPERLINK("https://creighton-primo.hosted.exlibrisgroup.com/primo-explore/search?tab=default_tab&amp;search_scope=EVERYTHING&amp;vid=01CRU&amp;lang=en_US&amp;offset=0&amp;query=any,contains,991003918169702656","Catalog Record")</f>
        <v>Catalog Record</v>
      </c>
      <c r="AT119" s="6" t="str">
        <f>HYPERLINK("http://www.worldcat.org/oclc/1863593","WorldCat Record")</f>
        <v>WorldCat Record</v>
      </c>
      <c r="AU119" s="3" t="s">
        <v>1609</v>
      </c>
      <c r="AV119" s="3" t="s">
        <v>1610</v>
      </c>
      <c r="AW119" s="3" t="s">
        <v>1611</v>
      </c>
      <c r="AX119" s="3" t="s">
        <v>1611</v>
      </c>
      <c r="AY119" s="3" t="s">
        <v>1612</v>
      </c>
      <c r="AZ119" s="3" t="s">
        <v>75</v>
      </c>
      <c r="BB119" s="3" t="s">
        <v>1613</v>
      </c>
      <c r="BC119" s="3" t="s">
        <v>1614</v>
      </c>
      <c r="BD119" s="3" t="s">
        <v>1615</v>
      </c>
    </row>
    <row r="120" spans="1:56" ht="39" customHeight="1" x14ac:dyDescent="0.25">
      <c r="A120" s="7" t="s">
        <v>58</v>
      </c>
      <c r="B120" s="2" t="s">
        <v>1616</v>
      </c>
      <c r="C120" s="2" t="s">
        <v>1617</v>
      </c>
      <c r="D120" s="2" t="s">
        <v>1618</v>
      </c>
      <c r="F120" s="3" t="s">
        <v>58</v>
      </c>
      <c r="G120" s="3" t="s">
        <v>59</v>
      </c>
      <c r="H120" s="3" t="s">
        <v>58</v>
      </c>
      <c r="I120" s="3" t="s">
        <v>58</v>
      </c>
      <c r="J120" s="3" t="s">
        <v>60</v>
      </c>
      <c r="K120" s="2" t="s">
        <v>1619</v>
      </c>
      <c r="L120" s="2" t="s">
        <v>1620</v>
      </c>
      <c r="M120" s="3" t="s">
        <v>1621</v>
      </c>
      <c r="O120" s="3" t="s">
        <v>65</v>
      </c>
      <c r="P120" s="3" t="s">
        <v>186</v>
      </c>
      <c r="R120" s="3" t="s">
        <v>68</v>
      </c>
      <c r="S120" s="4">
        <v>4</v>
      </c>
      <c r="T120" s="4">
        <v>4</v>
      </c>
      <c r="U120" s="5" t="s">
        <v>1622</v>
      </c>
      <c r="V120" s="5" t="s">
        <v>1622</v>
      </c>
      <c r="W120" s="5" t="s">
        <v>1623</v>
      </c>
      <c r="X120" s="5" t="s">
        <v>1623</v>
      </c>
      <c r="Y120" s="4">
        <v>475</v>
      </c>
      <c r="Z120" s="4">
        <v>420</v>
      </c>
      <c r="AA120" s="4">
        <v>451</v>
      </c>
      <c r="AB120" s="4">
        <v>5</v>
      </c>
      <c r="AC120" s="4">
        <v>5</v>
      </c>
      <c r="AD120" s="4">
        <v>35</v>
      </c>
      <c r="AE120" s="4">
        <v>36</v>
      </c>
      <c r="AF120" s="4">
        <v>12</v>
      </c>
      <c r="AG120" s="4">
        <v>13</v>
      </c>
      <c r="AH120" s="4">
        <v>8</v>
      </c>
      <c r="AI120" s="4">
        <v>8</v>
      </c>
      <c r="AJ120" s="4">
        <v>23</v>
      </c>
      <c r="AK120" s="4">
        <v>24</v>
      </c>
      <c r="AL120" s="4">
        <v>3</v>
      </c>
      <c r="AM120" s="4">
        <v>3</v>
      </c>
      <c r="AN120" s="4">
        <v>0</v>
      </c>
      <c r="AO120" s="4">
        <v>0</v>
      </c>
      <c r="AP120" s="3" t="s">
        <v>58</v>
      </c>
      <c r="AQ120" s="3" t="s">
        <v>58</v>
      </c>
      <c r="AS120" s="6" t="str">
        <f>HYPERLINK("https://creighton-primo.hosted.exlibrisgroup.com/primo-explore/search?tab=default_tab&amp;search_scope=EVERYTHING&amp;vid=01CRU&amp;lang=en_US&amp;offset=0&amp;query=any,contains,991003240599702656","Catalog Record")</f>
        <v>Catalog Record</v>
      </c>
      <c r="AT120" s="6" t="str">
        <f>HYPERLINK("http://www.worldcat.org/oclc/763573","WorldCat Record")</f>
        <v>WorldCat Record</v>
      </c>
      <c r="AU120" s="3" t="s">
        <v>1624</v>
      </c>
      <c r="AV120" s="3" t="s">
        <v>1625</v>
      </c>
      <c r="AW120" s="3" t="s">
        <v>1626</v>
      </c>
      <c r="AX120" s="3" t="s">
        <v>1626</v>
      </c>
      <c r="AY120" s="3" t="s">
        <v>1627</v>
      </c>
      <c r="AZ120" s="3" t="s">
        <v>75</v>
      </c>
      <c r="BB120" s="3" t="s">
        <v>1628</v>
      </c>
      <c r="BC120" s="3" t="s">
        <v>1629</v>
      </c>
      <c r="BD120" s="3" t="s">
        <v>1630</v>
      </c>
    </row>
    <row r="121" spans="1:56" ht="39" customHeight="1" x14ac:dyDescent="0.25">
      <c r="A121" s="7" t="s">
        <v>58</v>
      </c>
      <c r="B121" s="2" t="s">
        <v>1631</v>
      </c>
      <c r="C121" s="2" t="s">
        <v>1632</v>
      </c>
      <c r="D121" s="2" t="s">
        <v>1633</v>
      </c>
      <c r="F121" s="3" t="s">
        <v>58</v>
      </c>
      <c r="G121" s="3" t="s">
        <v>59</v>
      </c>
      <c r="H121" s="3" t="s">
        <v>58</v>
      </c>
      <c r="I121" s="3" t="s">
        <v>58</v>
      </c>
      <c r="J121" s="3" t="s">
        <v>60</v>
      </c>
      <c r="K121" s="2" t="s">
        <v>1634</v>
      </c>
      <c r="L121" s="2" t="s">
        <v>1635</v>
      </c>
      <c r="M121" s="3" t="s">
        <v>1371</v>
      </c>
      <c r="O121" s="3" t="s">
        <v>65</v>
      </c>
      <c r="P121" s="3" t="s">
        <v>186</v>
      </c>
      <c r="R121" s="3" t="s">
        <v>68</v>
      </c>
      <c r="S121" s="4">
        <v>6</v>
      </c>
      <c r="T121" s="4">
        <v>6</v>
      </c>
      <c r="U121" s="5" t="s">
        <v>1636</v>
      </c>
      <c r="V121" s="5" t="s">
        <v>1636</v>
      </c>
      <c r="W121" s="5" t="s">
        <v>1209</v>
      </c>
      <c r="X121" s="5" t="s">
        <v>1209</v>
      </c>
      <c r="Y121" s="4">
        <v>246</v>
      </c>
      <c r="Z121" s="4">
        <v>212</v>
      </c>
      <c r="AA121" s="4">
        <v>239</v>
      </c>
      <c r="AB121" s="4">
        <v>4</v>
      </c>
      <c r="AC121" s="4">
        <v>4</v>
      </c>
      <c r="AD121" s="4">
        <v>34</v>
      </c>
      <c r="AE121" s="4">
        <v>35</v>
      </c>
      <c r="AF121" s="4">
        <v>14</v>
      </c>
      <c r="AG121" s="4">
        <v>14</v>
      </c>
      <c r="AH121" s="4">
        <v>7</v>
      </c>
      <c r="AI121" s="4">
        <v>8</v>
      </c>
      <c r="AJ121" s="4">
        <v>24</v>
      </c>
      <c r="AK121" s="4">
        <v>24</v>
      </c>
      <c r="AL121" s="4">
        <v>1</v>
      </c>
      <c r="AM121" s="4">
        <v>1</v>
      </c>
      <c r="AN121" s="4">
        <v>0</v>
      </c>
      <c r="AO121" s="4">
        <v>0</v>
      </c>
      <c r="AP121" s="3" t="s">
        <v>58</v>
      </c>
      <c r="AQ121" s="3" t="s">
        <v>132</v>
      </c>
      <c r="AR121" s="6" t="str">
        <f>HYPERLINK("http://catalog.hathitrust.org/Record/001413106","HathiTrust Record")</f>
        <v>HathiTrust Record</v>
      </c>
      <c r="AS121" s="6" t="str">
        <f>HYPERLINK("https://creighton-primo.hosted.exlibrisgroup.com/primo-explore/search?tab=default_tab&amp;search_scope=EVERYTHING&amp;vid=01CRU&amp;lang=en_US&amp;offset=0&amp;query=any,contains,991004222649702656","Catalog Record")</f>
        <v>Catalog Record</v>
      </c>
      <c r="AT121" s="6" t="str">
        <f>HYPERLINK("http://www.worldcat.org/oclc/2717685","WorldCat Record")</f>
        <v>WorldCat Record</v>
      </c>
      <c r="AU121" s="3" t="s">
        <v>1637</v>
      </c>
      <c r="AV121" s="3" t="s">
        <v>1638</v>
      </c>
      <c r="AW121" s="3" t="s">
        <v>1639</v>
      </c>
      <c r="AX121" s="3" t="s">
        <v>1639</v>
      </c>
      <c r="AY121" s="3" t="s">
        <v>1640</v>
      </c>
      <c r="AZ121" s="3" t="s">
        <v>75</v>
      </c>
      <c r="BC121" s="3" t="s">
        <v>1641</v>
      </c>
      <c r="BD121" s="3" t="s">
        <v>1642</v>
      </c>
    </row>
    <row r="122" spans="1:56" ht="39" customHeight="1" x14ac:dyDescent="0.25">
      <c r="A122" s="7" t="s">
        <v>58</v>
      </c>
      <c r="B122" s="2" t="s">
        <v>1643</v>
      </c>
      <c r="C122" s="2" t="s">
        <v>1644</v>
      </c>
      <c r="D122" s="2" t="s">
        <v>1645</v>
      </c>
      <c r="F122" s="3" t="s">
        <v>58</v>
      </c>
      <c r="G122" s="3" t="s">
        <v>59</v>
      </c>
      <c r="H122" s="3" t="s">
        <v>58</v>
      </c>
      <c r="I122" s="3" t="s">
        <v>58</v>
      </c>
      <c r="J122" s="3" t="s">
        <v>60</v>
      </c>
      <c r="K122" s="2" t="s">
        <v>1646</v>
      </c>
      <c r="L122" s="2" t="s">
        <v>1647</v>
      </c>
      <c r="M122" s="3" t="s">
        <v>966</v>
      </c>
      <c r="O122" s="3" t="s">
        <v>65</v>
      </c>
      <c r="P122" s="3" t="s">
        <v>201</v>
      </c>
      <c r="R122" s="3" t="s">
        <v>68</v>
      </c>
      <c r="S122" s="4">
        <v>6</v>
      </c>
      <c r="T122" s="4">
        <v>6</v>
      </c>
      <c r="U122" s="5" t="s">
        <v>319</v>
      </c>
      <c r="V122" s="5" t="s">
        <v>319</v>
      </c>
      <c r="W122" s="5" t="s">
        <v>1648</v>
      </c>
      <c r="X122" s="5" t="s">
        <v>1648</v>
      </c>
      <c r="Y122" s="4">
        <v>302</v>
      </c>
      <c r="Z122" s="4">
        <v>226</v>
      </c>
      <c r="AA122" s="4">
        <v>289</v>
      </c>
      <c r="AB122" s="4">
        <v>3</v>
      </c>
      <c r="AC122" s="4">
        <v>3</v>
      </c>
      <c r="AD122" s="4">
        <v>21</v>
      </c>
      <c r="AE122" s="4">
        <v>25</v>
      </c>
      <c r="AF122" s="4">
        <v>7</v>
      </c>
      <c r="AG122" s="4">
        <v>8</v>
      </c>
      <c r="AH122" s="4">
        <v>5</v>
      </c>
      <c r="AI122" s="4">
        <v>6</v>
      </c>
      <c r="AJ122" s="4">
        <v>12</v>
      </c>
      <c r="AK122" s="4">
        <v>15</v>
      </c>
      <c r="AL122" s="4">
        <v>2</v>
      </c>
      <c r="AM122" s="4">
        <v>2</v>
      </c>
      <c r="AN122" s="4">
        <v>0</v>
      </c>
      <c r="AO122" s="4">
        <v>0</v>
      </c>
      <c r="AP122" s="3" t="s">
        <v>58</v>
      </c>
      <c r="AQ122" s="3" t="s">
        <v>58</v>
      </c>
      <c r="AS122" s="6" t="str">
        <f>HYPERLINK("https://creighton-primo.hosted.exlibrisgroup.com/primo-explore/search?tab=default_tab&amp;search_scope=EVERYTHING&amp;vid=01CRU&amp;lang=en_US&amp;offset=0&amp;query=any,contains,991002183859702656","Catalog Record")</f>
        <v>Catalog Record</v>
      </c>
      <c r="AT122" s="6" t="str">
        <f>HYPERLINK("http://www.worldcat.org/oclc/28113906","WorldCat Record")</f>
        <v>WorldCat Record</v>
      </c>
      <c r="AU122" s="3" t="s">
        <v>1649</v>
      </c>
      <c r="AV122" s="3" t="s">
        <v>1650</v>
      </c>
      <c r="AW122" s="3" t="s">
        <v>1651</v>
      </c>
      <c r="AX122" s="3" t="s">
        <v>1651</v>
      </c>
      <c r="AY122" s="3" t="s">
        <v>1652</v>
      </c>
      <c r="AZ122" s="3" t="s">
        <v>75</v>
      </c>
      <c r="BB122" s="3" t="s">
        <v>1653</v>
      </c>
      <c r="BC122" s="3" t="s">
        <v>1654</v>
      </c>
      <c r="BD122" s="3" t="s">
        <v>1655</v>
      </c>
    </row>
    <row r="123" spans="1:56" ht="39" customHeight="1" x14ac:dyDescent="0.25">
      <c r="A123" s="7" t="s">
        <v>58</v>
      </c>
      <c r="B123" s="2" t="s">
        <v>1656</v>
      </c>
      <c r="C123" s="2" t="s">
        <v>1657</v>
      </c>
      <c r="D123" s="2" t="s">
        <v>1658</v>
      </c>
      <c r="F123" s="3" t="s">
        <v>58</v>
      </c>
      <c r="G123" s="3" t="s">
        <v>59</v>
      </c>
      <c r="H123" s="3" t="s">
        <v>58</v>
      </c>
      <c r="I123" s="3" t="s">
        <v>58</v>
      </c>
      <c r="J123" s="3" t="s">
        <v>60</v>
      </c>
      <c r="K123" s="2" t="s">
        <v>1659</v>
      </c>
      <c r="L123" s="2" t="s">
        <v>1660</v>
      </c>
      <c r="M123" s="3" t="s">
        <v>144</v>
      </c>
      <c r="O123" s="3" t="s">
        <v>65</v>
      </c>
      <c r="P123" s="3" t="s">
        <v>186</v>
      </c>
      <c r="R123" s="3" t="s">
        <v>68</v>
      </c>
      <c r="S123" s="4">
        <v>2</v>
      </c>
      <c r="T123" s="4">
        <v>2</v>
      </c>
      <c r="U123" s="5" t="s">
        <v>1661</v>
      </c>
      <c r="V123" s="5" t="s">
        <v>1661</v>
      </c>
      <c r="W123" s="5" t="s">
        <v>1209</v>
      </c>
      <c r="X123" s="5" t="s">
        <v>1209</v>
      </c>
      <c r="Y123" s="4">
        <v>321</v>
      </c>
      <c r="Z123" s="4">
        <v>263</v>
      </c>
      <c r="AA123" s="4">
        <v>264</v>
      </c>
      <c r="AB123" s="4">
        <v>3</v>
      </c>
      <c r="AC123" s="4">
        <v>3</v>
      </c>
      <c r="AD123" s="4">
        <v>28</v>
      </c>
      <c r="AE123" s="4">
        <v>28</v>
      </c>
      <c r="AF123" s="4">
        <v>8</v>
      </c>
      <c r="AG123" s="4">
        <v>8</v>
      </c>
      <c r="AH123" s="4">
        <v>7</v>
      </c>
      <c r="AI123" s="4">
        <v>7</v>
      </c>
      <c r="AJ123" s="4">
        <v>17</v>
      </c>
      <c r="AK123" s="4">
        <v>17</v>
      </c>
      <c r="AL123" s="4">
        <v>2</v>
      </c>
      <c r="AM123" s="4">
        <v>2</v>
      </c>
      <c r="AN123" s="4">
        <v>0</v>
      </c>
      <c r="AO123" s="4">
        <v>0</v>
      </c>
      <c r="AP123" s="3" t="s">
        <v>58</v>
      </c>
      <c r="AQ123" s="3" t="s">
        <v>58</v>
      </c>
      <c r="AS123" s="6" t="str">
        <f>HYPERLINK("https://creighton-primo.hosted.exlibrisgroup.com/primo-explore/search?tab=default_tab&amp;search_scope=EVERYTHING&amp;vid=01CRU&amp;lang=en_US&amp;offset=0&amp;query=any,contains,991004563729702656","Catalog Record")</f>
        <v>Catalog Record</v>
      </c>
      <c r="AT123" s="6" t="str">
        <f>HYPERLINK("http://www.worldcat.org/oclc/4004025","WorldCat Record")</f>
        <v>WorldCat Record</v>
      </c>
      <c r="AU123" s="3" t="s">
        <v>1662</v>
      </c>
      <c r="AV123" s="3" t="s">
        <v>1663</v>
      </c>
      <c r="AW123" s="3" t="s">
        <v>1664</v>
      </c>
      <c r="AX123" s="3" t="s">
        <v>1664</v>
      </c>
      <c r="AY123" s="3" t="s">
        <v>1665</v>
      </c>
      <c r="AZ123" s="3" t="s">
        <v>75</v>
      </c>
      <c r="BB123" s="3" t="s">
        <v>1666</v>
      </c>
      <c r="BC123" s="3" t="s">
        <v>1667</v>
      </c>
      <c r="BD123" s="3" t="s">
        <v>1668</v>
      </c>
    </row>
    <row r="124" spans="1:56" ht="39" customHeight="1" x14ac:dyDescent="0.25">
      <c r="A124" s="7" t="s">
        <v>58</v>
      </c>
      <c r="B124" s="2" t="s">
        <v>1669</v>
      </c>
      <c r="C124" s="2" t="s">
        <v>1670</v>
      </c>
      <c r="D124" s="2" t="s">
        <v>1671</v>
      </c>
      <c r="F124" s="3" t="s">
        <v>58</v>
      </c>
      <c r="G124" s="3" t="s">
        <v>59</v>
      </c>
      <c r="H124" s="3" t="s">
        <v>58</v>
      </c>
      <c r="I124" s="3" t="s">
        <v>58</v>
      </c>
      <c r="J124" s="3" t="s">
        <v>60</v>
      </c>
      <c r="K124" s="2" t="s">
        <v>1672</v>
      </c>
      <c r="L124" s="2" t="s">
        <v>1673</v>
      </c>
      <c r="M124" s="3" t="s">
        <v>144</v>
      </c>
      <c r="O124" s="3" t="s">
        <v>65</v>
      </c>
      <c r="P124" s="3" t="s">
        <v>66</v>
      </c>
      <c r="Q124" s="2" t="s">
        <v>1674</v>
      </c>
      <c r="R124" s="3" t="s">
        <v>68</v>
      </c>
      <c r="S124" s="4">
        <v>4</v>
      </c>
      <c r="T124" s="4">
        <v>4</v>
      </c>
      <c r="U124" s="5" t="s">
        <v>1661</v>
      </c>
      <c r="V124" s="5" t="s">
        <v>1661</v>
      </c>
      <c r="W124" s="5" t="s">
        <v>1209</v>
      </c>
      <c r="X124" s="5" t="s">
        <v>1209</v>
      </c>
      <c r="Y124" s="4">
        <v>84</v>
      </c>
      <c r="Z124" s="4">
        <v>45</v>
      </c>
      <c r="AA124" s="4">
        <v>45</v>
      </c>
      <c r="AB124" s="4">
        <v>1</v>
      </c>
      <c r="AC124" s="4">
        <v>1</v>
      </c>
      <c r="AD124" s="4">
        <v>6</v>
      </c>
      <c r="AE124" s="4">
        <v>6</v>
      </c>
      <c r="AF124" s="4">
        <v>0</v>
      </c>
      <c r="AG124" s="4">
        <v>0</v>
      </c>
      <c r="AH124" s="4">
        <v>2</v>
      </c>
      <c r="AI124" s="4">
        <v>2</v>
      </c>
      <c r="AJ124" s="4">
        <v>5</v>
      </c>
      <c r="AK124" s="4">
        <v>5</v>
      </c>
      <c r="AL124" s="4">
        <v>0</v>
      </c>
      <c r="AM124" s="4">
        <v>0</v>
      </c>
      <c r="AN124" s="4">
        <v>0</v>
      </c>
      <c r="AO124" s="4">
        <v>0</v>
      </c>
      <c r="AP124" s="3" t="s">
        <v>58</v>
      </c>
      <c r="AQ124" s="3" t="s">
        <v>58</v>
      </c>
      <c r="AS124" s="6" t="str">
        <f>HYPERLINK("https://creighton-primo.hosted.exlibrisgroup.com/primo-explore/search?tab=default_tab&amp;search_scope=EVERYTHING&amp;vid=01CRU&amp;lang=en_US&amp;offset=0&amp;query=any,contains,991004732719702656","Catalog Record")</f>
        <v>Catalog Record</v>
      </c>
      <c r="AT124" s="6" t="str">
        <f>HYPERLINK("http://www.worldcat.org/oclc/4835742","WorldCat Record")</f>
        <v>WorldCat Record</v>
      </c>
      <c r="AU124" s="3" t="s">
        <v>1675</v>
      </c>
      <c r="AV124" s="3" t="s">
        <v>1676</v>
      </c>
      <c r="AW124" s="3" t="s">
        <v>1677</v>
      </c>
      <c r="AX124" s="3" t="s">
        <v>1677</v>
      </c>
      <c r="AY124" s="3" t="s">
        <v>1678</v>
      </c>
      <c r="AZ124" s="3" t="s">
        <v>75</v>
      </c>
      <c r="BB124" s="3" t="s">
        <v>1679</v>
      </c>
      <c r="BC124" s="3" t="s">
        <v>1680</v>
      </c>
      <c r="BD124" s="3" t="s">
        <v>1681</v>
      </c>
    </row>
    <row r="125" spans="1:56" ht="39" customHeight="1" x14ac:dyDescent="0.25">
      <c r="A125" s="7" t="s">
        <v>58</v>
      </c>
      <c r="B125" s="2" t="s">
        <v>1682</v>
      </c>
      <c r="C125" s="2" t="s">
        <v>1683</v>
      </c>
      <c r="D125" s="2" t="s">
        <v>1684</v>
      </c>
      <c r="F125" s="3" t="s">
        <v>58</v>
      </c>
      <c r="G125" s="3" t="s">
        <v>59</v>
      </c>
      <c r="H125" s="3" t="s">
        <v>58</v>
      </c>
      <c r="I125" s="3" t="s">
        <v>58</v>
      </c>
      <c r="J125" s="3" t="s">
        <v>60</v>
      </c>
      <c r="K125" s="2" t="s">
        <v>1685</v>
      </c>
      <c r="L125" s="2" t="s">
        <v>1686</v>
      </c>
      <c r="M125" s="3" t="s">
        <v>361</v>
      </c>
      <c r="O125" s="3" t="s">
        <v>65</v>
      </c>
      <c r="P125" s="3" t="s">
        <v>84</v>
      </c>
      <c r="R125" s="3" t="s">
        <v>68</v>
      </c>
      <c r="S125" s="4">
        <v>5</v>
      </c>
      <c r="T125" s="4">
        <v>5</v>
      </c>
      <c r="U125" s="5" t="s">
        <v>319</v>
      </c>
      <c r="V125" s="5" t="s">
        <v>319</v>
      </c>
      <c r="W125" s="5" t="s">
        <v>1687</v>
      </c>
      <c r="X125" s="5" t="s">
        <v>1687</v>
      </c>
      <c r="Y125" s="4">
        <v>255</v>
      </c>
      <c r="Z125" s="4">
        <v>202</v>
      </c>
      <c r="AA125" s="4">
        <v>205</v>
      </c>
      <c r="AB125" s="4">
        <v>1</v>
      </c>
      <c r="AC125" s="4">
        <v>1</v>
      </c>
      <c r="AD125" s="4">
        <v>16</v>
      </c>
      <c r="AE125" s="4">
        <v>16</v>
      </c>
      <c r="AF125" s="4">
        <v>5</v>
      </c>
      <c r="AG125" s="4">
        <v>5</v>
      </c>
      <c r="AH125" s="4">
        <v>5</v>
      </c>
      <c r="AI125" s="4">
        <v>5</v>
      </c>
      <c r="AJ125" s="4">
        <v>9</v>
      </c>
      <c r="AK125" s="4">
        <v>9</v>
      </c>
      <c r="AL125" s="4">
        <v>0</v>
      </c>
      <c r="AM125" s="4">
        <v>0</v>
      </c>
      <c r="AN125" s="4">
        <v>0</v>
      </c>
      <c r="AO125" s="4">
        <v>0</v>
      </c>
      <c r="AP125" s="3" t="s">
        <v>58</v>
      </c>
      <c r="AQ125" s="3" t="s">
        <v>58</v>
      </c>
      <c r="AS125" s="6" t="str">
        <f>HYPERLINK("https://creighton-primo.hosted.exlibrisgroup.com/primo-explore/search?tab=default_tab&amp;search_scope=EVERYTHING&amp;vid=01CRU&amp;lang=en_US&amp;offset=0&amp;query=any,contains,991000131239702656","Catalog Record")</f>
        <v>Catalog Record</v>
      </c>
      <c r="AT125" s="6" t="str">
        <f>HYPERLINK("http://www.worldcat.org/oclc/9111528","WorldCat Record")</f>
        <v>WorldCat Record</v>
      </c>
      <c r="AU125" s="3" t="s">
        <v>1688</v>
      </c>
      <c r="AV125" s="3" t="s">
        <v>1689</v>
      </c>
      <c r="AW125" s="3" t="s">
        <v>1690</v>
      </c>
      <c r="AX125" s="3" t="s">
        <v>1690</v>
      </c>
      <c r="AY125" s="3" t="s">
        <v>1691</v>
      </c>
      <c r="AZ125" s="3" t="s">
        <v>75</v>
      </c>
      <c r="BB125" s="3" t="s">
        <v>1692</v>
      </c>
      <c r="BC125" s="3" t="s">
        <v>1693</v>
      </c>
      <c r="BD125" s="3" t="s">
        <v>1694</v>
      </c>
    </row>
    <row r="126" spans="1:56" ht="39" customHeight="1" x14ac:dyDescent="0.25">
      <c r="A126" s="7" t="s">
        <v>58</v>
      </c>
      <c r="B126" s="2" t="s">
        <v>1695</v>
      </c>
      <c r="C126" s="2" t="s">
        <v>1696</v>
      </c>
      <c r="D126" s="2" t="s">
        <v>1697</v>
      </c>
      <c r="F126" s="3" t="s">
        <v>58</v>
      </c>
      <c r="G126" s="3" t="s">
        <v>59</v>
      </c>
      <c r="H126" s="3" t="s">
        <v>58</v>
      </c>
      <c r="I126" s="3" t="s">
        <v>58</v>
      </c>
      <c r="J126" s="3" t="s">
        <v>60</v>
      </c>
      <c r="K126" s="2" t="s">
        <v>1685</v>
      </c>
      <c r="L126" s="2" t="s">
        <v>1698</v>
      </c>
      <c r="M126" s="3" t="s">
        <v>185</v>
      </c>
      <c r="O126" s="3" t="s">
        <v>65</v>
      </c>
      <c r="P126" s="3" t="s">
        <v>201</v>
      </c>
      <c r="R126" s="3" t="s">
        <v>68</v>
      </c>
      <c r="S126" s="4">
        <v>9</v>
      </c>
      <c r="T126" s="4">
        <v>9</v>
      </c>
      <c r="U126" s="5" t="s">
        <v>1699</v>
      </c>
      <c r="V126" s="5" t="s">
        <v>1699</v>
      </c>
      <c r="W126" s="5" t="s">
        <v>1700</v>
      </c>
      <c r="X126" s="5" t="s">
        <v>1700</v>
      </c>
      <c r="Y126" s="4">
        <v>179</v>
      </c>
      <c r="Z126" s="4">
        <v>139</v>
      </c>
      <c r="AA126" s="4">
        <v>139</v>
      </c>
      <c r="AB126" s="4">
        <v>1</v>
      </c>
      <c r="AC126" s="4">
        <v>1</v>
      </c>
      <c r="AD126" s="4">
        <v>14</v>
      </c>
      <c r="AE126" s="4">
        <v>14</v>
      </c>
      <c r="AF126" s="4">
        <v>6</v>
      </c>
      <c r="AG126" s="4">
        <v>6</v>
      </c>
      <c r="AH126" s="4">
        <v>1</v>
      </c>
      <c r="AI126" s="4">
        <v>1</v>
      </c>
      <c r="AJ126" s="4">
        <v>10</v>
      </c>
      <c r="AK126" s="4">
        <v>10</v>
      </c>
      <c r="AL126" s="4">
        <v>0</v>
      </c>
      <c r="AM126" s="4">
        <v>0</v>
      </c>
      <c r="AN126" s="4">
        <v>0</v>
      </c>
      <c r="AO126" s="4">
        <v>0</v>
      </c>
      <c r="AP126" s="3" t="s">
        <v>58</v>
      </c>
      <c r="AQ126" s="3" t="s">
        <v>58</v>
      </c>
      <c r="AS126" s="6" t="str">
        <f>HYPERLINK("https://creighton-primo.hosted.exlibrisgroup.com/primo-explore/search?tab=default_tab&amp;search_scope=EVERYTHING&amp;vid=01CRU&amp;lang=en_US&amp;offset=0&amp;query=any,contains,991003575479702656","Catalog Record")</f>
        <v>Catalog Record</v>
      </c>
      <c r="AT126" s="6" t="str">
        <f>HYPERLINK("http://www.worldcat.org/oclc/43555310","WorldCat Record")</f>
        <v>WorldCat Record</v>
      </c>
      <c r="AU126" s="3" t="s">
        <v>1701</v>
      </c>
      <c r="AV126" s="3" t="s">
        <v>1702</v>
      </c>
      <c r="AW126" s="3" t="s">
        <v>1703</v>
      </c>
      <c r="AX126" s="3" t="s">
        <v>1703</v>
      </c>
      <c r="AY126" s="3" t="s">
        <v>1704</v>
      </c>
      <c r="AZ126" s="3" t="s">
        <v>75</v>
      </c>
      <c r="BB126" s="3" t="s">
        <v>1705</v>
      </c>
      <c r="BC126" s="3" t="s">
        <v>1706</v>
      </c>
      <c r="BD126" s="3" t="s">
        <v>1707</v>
      </c>
    </row>
    <row r="127" spans="1:56" ht="39" customHeight="1" x14ac:dyDescent="0.25">
      <c r="A127" s="7" t="s">
        <v>58</v>
      </c>
      <c r="B127" s="2" t="s">
        <v>1708</v>
      </c>
      <c r="C127" s="2" t="s">
        <v>1709</v>
      </c>
      <c r="D127" s="2" t="s">
        <v>1710</v>
      </c>
      <c r="F127" s="3" t="s">
        <v>58</v>
      </c>
      <c r="G127" s="3" t="s">
        <v>59</v>
      </c>
      <c r="H127" s="3" t="s">
        <v>58</v>
      </c>
      <c r="I127" s="3" t="s">
        <v>58</v>
      </c>
      <c r="J127" s="3" t="s">
        <v>60</v>
      </c>
      <c r="L127" s="2" t="s">
        <v>1711</v>
      </c>
      <c r="M127" s="3" t="s">
        <v>144</v>
      </c>
      <c r="O127" s="3" t="s">
        <v>65</v>
      </c>
      <c r="P127" s="3" t="s">
        <v>113</v>
      </c>
      <c r="R127" s="3" t="s">
        <v>68</v>
      </c>
      <c r="S127" s="4">
        <v>1</v>
      </c>
      <c r="T127" s="4">
        <v>1</v>
      </c>
      <c r="U127" s="5" t="s">
        <v>1084</v>
      </c>
      <c r="V127" s="5" t="s">
        <v>1084</v>
      </c>
      <c r="W127" s="5" t="s">
        <v>1084</v>
      </c>
      <c r="X127" s="5" t="s">
        <v>1084</v>
      </c>
      <c r="Y127" s="4">
        <v>54</v>
      </c>
      <c r="Z127" s="4">
        <v>46</v>
      </c>
      <c r="AA127" s="4">
        <v>46</v>
      </c>
      <c r="AB127" s="4">
        <v>1</v>
      </c>
      <c r="AC127" s="4">
        <v>1</v>
      </c>
      <c r="AD127" s="4">
        <v>6</v>
      </c>
      <c r="AE127" s="4">
        <v>6</v>
      </c>
      <c r="AF127" s="4">
        <v>1</v>
      </c>
      <c r="AG127" s="4">
        <v>1</v>
      </c>
      <c r="AH127" s="4">
        <v>1</v>
      </c>
      <c r="AI127" s="4">
        <v>1</v>
      </c>
      <c r="AJ127" s="4">
        <v>4</v>
      </c>
      <c r="AK127" s="4">
        <v>4</v>
      </c>
      <c r="AL127" s="4">
        <v>0</v>
      </c>
      <c r="AM127" s="4">
        <v>0</v>
      </c>
      <c r="AN127" s="4">
        <v>0</v>
      </c>
      <c r="AO127" s="4">
        <v>0</v>
      </c>
      <c r="AP127" s="3" t="s">
        <v>58</v>
      </c>
      <c r="AQ127" s="3" t="s">
        <v>58</v>
      </c>
      <c r="AS127" s="6" t="str">
        <f>HYPERLINK("https://creighton-primo.hosted.exlibrisgroup.com/primo-explore/search?tab=default_tab&amp;search_scope=EVERYTHING&amp;vid=01CRU&amp;lang=en_US&amp;offset=0&amp;query=any,contains,991004528359702656","Catalog Record")</f>
        <v>Catalog Record</v>
      </c>
      <c r="AT127" s="6" t="str">
        <f>HYPERLINK("http://www.worldcat.org/oclc/5392828","WorldCat Record")</f>
        <v>WorldCat Record</v>
      </c>
      <c r="AU127" s="3" t="s">
        <v>1712</v>
      </c>
      <c r="AV127" s="3" t="s">
        <v>1713</v>
      </c>
      <c r="AW127" s="3" t="s">
        <v>1714</v>
      </c>
      <c r="AX127" s="3" t="s">
        <v>1714</v>
      </c>
      <c r="AY127" s="3" t="s">
        <v>1715</v>
      </c>
      <c r="AZ127" s="3" t="s">
        <v>75</v>
      </c>
      <c r="BB127" s="3" t="s">
        <v>1716</v>
      </c>
      <c r="BC127" s="3" t="s">
        <v>1717</v>
      </c>
      <c r="BD127" s="3" t="s">
        <v>1718</v>
      </c>
    </row>
    <row r="128" spans="1:56" ht="39" customHeight="1" x14ac:dyDescent="0.25">
      <c r="A128" s="7" t="s">
        <v>58</v>
      </c>
      <c r="B128" s="2" t="s">
        <v>1719</v>
      </c>
      <c r="C128" s="2" t="s">
        <v>1720</v>
      </c>
      <c r="D128" s="2" t="s">
        <v>1721</v>
      </c>
      <c r="F128" s="3" t="s">
        <v>58</v>
      </c>
      <c r="G128" s="3" t="s">
        <v>59</v>
      </c>
      <c r="H128" s="3" t="s">
        <v>58</v>
      </c>
      <c r="I128" s="3" t="s">
        <v>58</v>
      </c>
      <c r="J128" s="3" t="s">
        <v>60</v>
      </c>
      <c r="L128" s="2" t="s">
        <v>1722</v>
      </c>
      <c r="M128" s="3" t="s">
        <v>1723</v>
      </c>
      <c r="N128" s="2" t="s">
        <v>476</v>
      </c>
      <c r="O128" s="3" t="s">
        <v>65</v>
      </c>
      <c r="P128" s="3" t="s">
        <v>1724</v>
      </c>
      <c r="R128" s="3" t="s">
        <v>68</v>
      </c>
      <c r="S128" s="4">
        <v>2</v>
      </c>
      <c r="T128" s="4">
        <v>2</v>
      </c>
      <c r="U128" s="5" t="s">
        <v>1725</v>
      </c>
      <c r="V128" s="5" t="s">
        <v>1725</v>
      </c>
      <c r="W128" s="5" t="s">
        <v>1725</v>
      </c>
      <c r="X128" s="5" t="s">
        <v>1725</v>
      </c>
      <c r="Y128" s="4">
        <v>232</v>
      </c>
      <c r="Z128" s="4">
        <v>185</v>
      </c>
      <c r="AA128" s="4">
        <v>185</v>
      </c>
      <c r="AB128" s="4">
        <v>3</v>
      </c>
      <c r="AC128" s="4">
        <v>3</v>
      </c>
      <c r="AD128" s="4">
        <v>17</v>
      </c>
      <c r="AE128" s="4">
        <v>17</v>
      </c>
      <c r="AF128" s="4">
        <v>4</v>
      </c>
      <c r="AG128" s="4">
        <v>4</v>
      </c>
      <c r="AH128" s="4">
        <v>5</v>
      </c>
      <c r="AI128" s="4">
        <v>5</v>
      </c>
      <c r="AJ128" s="4">
        <v>11</v>
      </c>
      <c r="AK128" s="4">
        <v>11</v>
      </c>
      <c r="AL128" s="4">
        <v>2</v>
      </c>
      <c r="AM128" s="4">
        <v>2</v>
      </c>
      <c r="AN128" s="4">
        <v>0</v>
      </c>
      <c r="AO128" s="4">
        <v>0</v>
      </c>
      <c r="AP128" s="3" t="s">
        <v>58</v>
      </c>
      <c r="AQ128" s="3" t="s">
        <v>58</v>
      </c>
      <c r="AS128" s="6" t="str">
        <f>HYPERLINK("https://creighton-primo.hosted.exlibrisgroup.com/primo-explore/search?tab=default_tab&amp;search_scope=EVERYTHING&amp;vid=01CRU&amp;lang=en_US&amp;offset=0&amp;query=any,contains,991004115479702656","Catalog Record")</f>
        <v>Catalog Record</v>
      </c>
      <c r="AT128" s="6" t="str">
        <f>HYPERLINK("http://www.worldcat.org/oclc/47690481","WorldCat Record")</f>
        <v>WorldCat Record</v>
      </c>
      <c r="AU128" s="3" t="s">
        <v>1726</v>
      </c>
      <c r="AV128" s="3" t="s">
        <v>1727</v>
      </c>
      <c r="AW128" s="3" t="s">
        <v>1728</v>
      </c>
      <c r="AX128" s="3" t="s">
        <v>1728</v>
      </c>
      <c r="AY128" s="3" t="s">
        <v>1729</v>
      </c>
      <c r="AZ128" s="3" t="s">
        <v>75</v>
      </c>
      <c r="BB128" s="3" t="s">
        <v>1730</v>
      </c>
      <c r="BC128" s="3" t="s">
        <v>1731</v>
      </c>
      <c r="BD128" s="3" t="s">
        <v>1732</v>
      </c>
    </row>
    <row r="129" spans="1:56" ht="39" customHeight="1" x14ac:dyDescent="0.25">
      <c r="A129" s="7" t="s">
        <v>58</v>
      </c>
      <c r="B129" s="2" t="s">
        <v>1733</v>
      </c>
      <c r="C129" s="2" t="s">
        <v>1734</v>
      </c>
      <c r="D129" s="2" t="s">
        <v>1735</v>
      </c>
      <c r="F129" s="3" t="s">
        <v>58</v>
      </c>
      <c r="G129" s="3" t="s">
        <v>59</v>
      </c>
      <c r="H129" s="3" t="s">
        <v>58</v>
      </c>
      <c r="I129" s="3" t="s">
        <v>58</v>
      </c>
      <c r="J129" s="3" t="s">
        <v>60</v>
      </c>
      <c r="K129" s="2" t="s">
        <v>1736</v>
      </c>
      <c r="L129" s="2" t="s">
        <v>1737</v>
      </c>
      <c r="M129" s="3" t="s">
        <v>1738</v>
      </c>
      <c r="O129" s="3" t="s">
        <v>65</v>
      </c>
      <c r="P129" s="3" t="s">
        <v>66</v>
      </c>
      <c r="R129" s="3" t="s">
        <v>68</v>
      </c>
      <c r="S129" s="4">
        <v>4</v>
      </c>
      <c r="T129" s="4">
        <v>4</v>
      </c>
      <c r="U129" s="5" t="s">
        <v>1739</v>
      </c>
      <c r="V129" s="5" t="s">
        <v>1739</v>
      </c>
      <c r="W129" s="5" t="s">
        <v>1209</v>
      </c>
      <c r="X129" s="5" t="s">
        <v>1209</v>
      </c>
      <c r="Y129" s="4">
        <v>429</v>
      </c>
      <c r="Z129" s="4">
        <v>373</v>
      </c>
      <c r="AA129" s="4">
        <v>814</v>
      </c>
      <c r="AB129" s="4">
        <v>6</v>
      </c>
      <c r="AC129" s="4">
        <v>7</v>
      </c>
      <c r="AD129" s="4">
        <v>30</v>
      </c>
      <c r="AE129" s="4">
        <v>48</v>
      </c>
      <c r="AF129" s="4">
        <v>10</v>
      </c>
      <c r="AG129" s="4">
        <v>21</v>
      </c>
      <c r="AH129" s="4">
        <v>6</v>
      </c>
      <c r="AI129" s="4">
        <v>9</v>
      </c>
      <c r="AJ129" s="4">
        <v>19</v>
      </c>
      <c r="AK129" s="4">
        <v>26</v>
      </c>
      <c r="AL129" s="4">
        <v>4</v>
      </c>
      <c r="AM129" s="4">
        <v>4</v>
      </c>
      <c r="AN129" s="4">
        <v>0</v>
      </c>
      <c r="AO129" s="4">
        <v>0</v>
      </c>
      <c r="AP129" s="3" t="s">
        <v>58</v>
      </c>
      <c r="AQ129" s="3" t="s">
        <v>132</v>
      </c>
      <c r="AR129" s="6" t="str">
        <f>HYPERLINK("http://catalog.hathitrust.org/Record/005779139","HathiTrust Record")</f>
        <v>HathiTrust Record</v>
      </c>
      <c r="AS129" s="6" t="str">
        <f>HYPERLINK("https://creighton-primo.hosted.exlibrisgroup.com/primo-explore/search?tab=default_tab&amp;search_scope=EVERYTHING&amp;vid=01CRU&amp;lang=en_US&amp;offset=0&amp;query=any,contains,991002428489702656","Catalog Record")</f>
        <v>Catalog Record</v>
      </c>
      <c r="AT129" s="6" t="str">
        <f>HYPERLINK("http://www.worldcat.org/oclc/345841","WorldCat Record")</f>
        <v>WorldCat Record</v>
      </c>
      <c r="AU129" s="3" t="s">
        <v>1740</v>
      </c>
      <c r="AV129" s="3" t="s">
        <v>1741</v>
      </c>
      <c r="AW129" s="3" t="s">
        <v>1742</v>
      </c>
      <c r="AX129" s="3" t="s">
        <v>1742</v>
      </c>
      <c r="AY129" s="3" t="s">
        <v>1743</v>
      </c>
      <c r="AZ129" s="3" t="s">
        <v>75</v>
      </c>
      <c r="BC129" s="3" t="s">
        <v>1744</v>
      </c>
      <c r="BD129" s="3" t="s">
        <v>1745</v>
      </c>
    </row>
    <row r="130" spans="1:56" ht="39" customHeight="1" x14ac:dyDescent="0.25">
      <c r="A130" s="7" t="s">
        <v>58</v>
      </c>
      <c r="B130" s="2" t="s">
        <v>1746</v>
      </c>
      <c r="C130" s="2" t="s">
        <v>1747</v>
      </c>
      <c r="D130" s="2" t="s">
        <v>1748</v>
      </c>
      <c r="F130" s="3" t="s">
        <v>58</v>
      </c>
      <c r="G130" s="3" t="s">
        <v>59</v>
      </c>
      <c r="H130" s="3" t="s">
        <v>58</v>
      </c>
      <c r="I130" s="3" t="s">
        <v>58</v>
      </c>
      <c r="J130" s="3" t="s">
        <v>60</v>
      </c>
      <c r="L130" s="2" t="s">
        <v>1749</v>
      </c>
      <c r="M130" s="3" t="s">
        <v>709</v>
      </c>
      <c r="O130" s="3" t="s">
        <v>65</v>
      </c>
      <c r="P130" s="3" t="s">
        <v>1750</v>
      </c>
      <c r="R130" s="3" t="s">
        <v>68</v>
      </c>
      <c r="S130" s="4">
        <v>5</v>
      </c>
      <c r="T130" s="4">
        <v>5</v>
      </c>
      <c r="U130" s="5" t="s">
        <v>1518</v>
      </c>
      <c r="V130" s="5" t="s">
        <v>1518</v>
      </c>
      <c r="W130" s="5" t="s">
        <v>1751</v>
      </c>
      <c r="X130" s="5" t="s">
        <v>1751</v>
      </c>
      <c r="Y130" s="4">
        <v>93</v>
      </c>
      <c r="Z130" s="4">
        <v>56</v>
      </c>
      <c r="AA130" s="4">
        <v>57</v>
      </c>
      <c r="AB130" s="4">
        <v>1</v>
      </c>
      <c r="AC130" s="4">
        <v>1</v>
      </c>
      <c r="AD130" s="4">
        <v>5</v>
      </c>
      <c r="AE130" s="4">
        <v>5</v>
      </c>
      <c r="AF130" s="4">
        <v>0</v>
      </c>
      <c r="AG130" s="4">
        <v>0</v>
      </c>
      <c r="AH130" s="4">
        <v>2</v>
      </c>
      <c r="AI130" s="4">
        <v>2</v>
      </c>
      <c r="AJ130" s="4">
        <v>3</v>
      </c>
      <c r="AK130" s="4">
        <v>3</v>
      </c>
      <c r="AL130" s="4">
        <v>0</v>
      </c>
      <c r="AM130" s="4">
        <v>0</v>
      </c>
      <c r="AN130" s="4">
        <v>0</v>
      </c>
      <c r="AO130" s="4">
        <v>0</v>
      </c>
      <c r="AP130" s="3" t="s">
        <v>58</v>
      </c>
      <c r="AQ130" s="3" t="s">
        <v>58</v>
      </c>
      <c r="AS130" s="6" t="str">
        <f>HYPERLINK("https://creighton-primo.hosted.exlibrisgroup.com/primo-explore/search?tab=default_tab&amp;search_scope=EVERYTHING&amp;vid=01CRU&amp;lang=en_US&amp;offset=0&amp;query=any,contains,991001826219702656","Catalog Record")</f>
        <v>Catalog Record</v>
      </c>
      <c r="AT130" s="6" t="str">
        <f>HYPERLINK("http://www.worldcat.org/oclc/22949936","WorldCat Record")</f>
        <v>WorldCat Record</v>
      </c>
      <c r="AU130" s="3" t="s">
        <v>1752</v>
      </c>
      <c r="AV130" s="3" t="s">
        <v>1753</v>
      </c>
      <c r="AW130" s="3" t="s">
        <v>1754</v>
      </c>
      <c r="AX130" s="3" t="s">
        <v>1754</v>
      </c>
      <c r="AY130" s="3" t="s">
        <v>1755</v>
      </c>
      <c r="AZ130" s="3" t="s">
        <v>75</v>
      </c>
      <c r="BB130" s="3" t="s">
        <v>1756</v>
      </c>
      <c r="BC130" s="3" t="s">
        <v>1757</v>
      </c>
      <c r="BD130" s="3" t="s">
        <v>1758</v>
      </c>
    </row>
    <row r="131" spans="1:56" ht="39" customHeight="1" x14ac:dyDescent="0.25">
      <c r="A131" s="7" t="s">
        <v>58</v>
      </c>
      <c r="B131" s="2" t="s">
        <v>1759</v>
      </c>
      <c r="C131" s="2" t="s">
        <v>1760</v>
      </c>
      <c r="D131" s="2" t="s">
        <v>1761</v>
      </c>
      <c r="F131" s="3" t="s">
        <v>58</v>
      </c>
      <c r="G131" s="3" t="s">
        <v>59</v>
      </c>
      <c r="H131" s="3" t="s">
        <v>58</v>
      </c>
      <c r="I131" s="3" t="s">
        <v>58</v>
      </c>
      <c r="J131" s="3" t="s">
        <v>60</v>
      </c>
      <c r="K131" s="2" t="s">
        <v>1762</v>
      </c>
      <c r="L131" s="2" t="s">
        <v>1763</v>
      </c>
      <c r="M131" s="3" t="s">
        <v>1046</v>
      </c>
      <c r="O131" s="3" t="s">
        <v>65</v>
      </c>
      <c r="P131" s="3" t="s">
        <v>84</v>
      </c>
      <c r="R131" s="3" t="s">
        <v>68</v>
      </c>
      <c r="S131" s="4">
        <v>6</v>
      </c>
      <c r="T131" s="4">
        <v>6</v>
      </c>
      <c r="U131" s="5" t="s">
        <v>1764</v>
      </c>
      <c r="V131" s="5" t="s">
        <v>1764</v>
      </c>
      <c r="W131" s="5" t="s">
        <v>1765</v>
      </c>
      <c r="X131" s="5" t="s">
        <v>1765</v>
      </c>
      <c r="Y131" s="4">
        <v>225</v>
      </c>
      <c r="Z131" s="4">
        <v>179</v>
      </c>
      <c r="AA131" s="4">
        <v>185</v>
      </c>
      <c r="AB131" s="4">
        <v>1</v>
      </c>
      <c r="AC131" s="4">
        <v>1</v>
      </c>
      <c r="AD131" s="4">
        <v>17</v>
      </c>
      <c r="AE131" s="4">
        <v>17</v>
      </c>
      <c r="AF131" s="4">
        <v>4</v>
      </c>
      <c r="AG131" s="4">
        <v>4</v>
      </c>
      <c r="AH131" s="4">
        <v>4</v>
      </c>
      <c r="AI131" s="4">
        <v>4</v>
      </c>
      <c r="AJ131" s="4">
        <v>10</v>
      </c>
      <c r="AK131" s="4">
        <v>10</v>
      </c>
      <c r="AL131" s="4">
        <v>0</v>
      </c>
      <c r="AM131" s="4">
        <v>0</v>
      </c>
      <c r="AN131" s="4">
        <v>0</v>
      </c>
      <c r="AO131" s="4">
        <v>0</v>
      </c>
      <c r="AP131" s="3" t="s">
        <v>58</v>
      </c>
      <c r="AQ131" s="3" t="s">
        <v>58</v>
      </c>
      <c r="AS131" s="6" t="str">
        <f>HYPERLINK("https://creighton-primo.hosted.exlibrisgroup.com/primo-explore/search?tab=default_tab&amp;search_scope=EVERYTHING&amp;vid=01CRU&amp;lang=en_US&amp;offset=0&amp;query=any,contains,991000779259702656","Catalog Record")</f>
        <v>Catalog Record</v>
      </c>
      <c r="AT131" s="6" t="str">
        <f>HYPERLINK("http://www.worldcat.org/oclc/13093930","WorldCat Record")</f>
        <v>WorldCat Record</v>
      </c>
      <c r="AU131" s="3" t="s">
        <v>1766</v>
      </c>
      <c r="AV131" s="3" t="s">
        <v>1767</v>
      </c>
      <c r="AW131" s="3" t="s">
        <v>1768</v>
      </c>
      <c r="AX131" s="3" t="s">
        <v>1768</v>
      </c>
      <c r="AY131" s="3" t="s">
        <v>1769</v>
      </c>
      <c r="AZ131" s="3" t="s">
        <v>75</v>
      </c>
      <c r="BB131" s="3" t="s">
        <v>1770</v>
      </c>
      <c r="BC131" s="3" t="s">
        <v>1771</v>
      </c>
      <c r="BD131" s="3" t="s">
        <v>1772</v>
      </c>
    </row>
    <row r="132" spans="1:56" ht="39" customHeight="1" x14ac:dyDescent="0.25">
      <c r="A132" s="7" t="s">
        <v>58</v>
      </c>
      <c r="B132" s="2" t="s">
        <v>1773</v>
      </c>
      <c r="C132" s="2" t="s">
        <v>1774</v>
      </c>
      <c r="D132" s="2" t="s">
        <v>1775</v>
      </c>
      <c r="F132" s="3" t="s">
        <v>58</v>
      </c>
      <c r="G132" s="3" t="s">
        <v>59</v>
      </c>
      <c r="H132" s="3" t="s">
        <v>58</v>
      </c>
      <c r="I132" s="3" t="s">
        <v>58</v>
      </c>
      <c r="J132" s="3" t="s">
        <v>60</v>
      </c>
      <c r="K132" s="2" t="s">
        <v>1762</v>
      </c>
      <c r="L132" s="2" t="s">
        <v>1776</v>
      </c>
      <c r="M132" s="3" t="s">
        <v>759</v>
      </c>
      <c r="O132" s="3" t="s">
        <v>65</v>
      </c>
      <c r="P132" s="3" t="s">
        <v>113</v>
      </c>
      <c r="R132" s="3" t="s">
        <v>68</v>
      </c>
      <c r="S132" s="4">
        <v>3</v>
      </c>
      <c r="T132" s="4">
        <v>3</v>
      </c>
      <c r="U132" s="5" t="s">
        <v>1777</v>
      </c>
      <c r="V132" s="5" t="s">
        <v>1777</v>
      </c>
      <c r="W132" s="5" t="s">
        <v>1778</v>
      </c>
      <c r="X132" s="5" t="s">
        <v>1778</v>
      </c>
      <c r="Y132" s="4">
        <v>159</v>
      </c>
      <c r="Z132" s="4">
        <v>125</v>
      </c>
      <c r="AA132" s="4">
        <v>126</v>
      </c>
      <c r="AB132" s="4">
        <v>1</v>
      </c>
      <c r="AC132" s="4">
        <v>1</v>
      </c>
      <c r="AD132" s="4">
        <v>11</v>
      </c>
      <c r="AE132" s="4">
        <v>11</v>
      </c>
      <c r="AF132" s="4">
        <v>4</v>
      </c>
      <c r="AG132" s="4">
        <v>4</v>
      </c>
      <c r="AH132" s="4">
        <v>2</v>
      </c>
      <c r="AI132" s="4">
        <v>2</v>
      </c>
      <c r="AJ132" s="4">
        <v>6</v>
      </c>
      <c r="AK132" s="4">
        <v>6</v>
      </c>
      <c r="AL132" s="4">
        <v>0</v>
      </c>
      <c r="AM132" s="4">
        <v>0</v>
      </c>
      <c r="AN132" s="4">
        <v>0</v>
      </c>
      <c r="AO132" s="4">
        <v>0</v>
      </c>
      <c r="AP132" s="3" t="s">
        <v>58</v>
      </c>
      <c r="AQ132" s="3" t="s">
        <v>58</v>
      </c>
      <c r="AS132" s="6" t="str">
        <f>HYPERLINK("https://creighton-primo.hosted.exlibrisgroup.com/primo-explore/search?tab=default_tab&amp;search_scope=EVERYTHING&amp;vid=01CRU&amp;lang=en_US&amp;offset=0&amp;query=any,contains,991001311619702656","Catalog Record")</f>
        <v>Catalog Record</v>
      </c>
      <c r="AT132" s="6" t="str">
        <f>HYPERLINK("http://www.worldcat.org/oclc/18155174","WorldCat Record")</f>
        <v>WorldCat Record</v>
      </c>
      <c r="AU132" s="3" t="s">
        <v>1779</v>
      </c>
      <c r="AV132" s="3" t="s">
        <v>1780</v>
      </c>
      <c r="AW132" s="3" t="s">
        <v>1781</v>
      </c>
      <c r="AX132" s="3" t="s">
        <v>1781</v>
      </c>
      <c r="AY132" s="3" t="s">
        <v>1782</v>
      </c>
      <c r="AZ132" s="3" t="s">
        <v>75</v>
      </c>
      <c r="BB132" s="3" t="s">
        <v>1783</v>
      </c>
      <c r="BC132" s="3" t="s">
        <v>1784</v>
      </c>
      <c r="BD132" s="3" t="s">
        <v>1785</v>
      </c>
    </row>
    <row r="133" spans="1:56" ht="39" customHeight="1" x14ac:dyDescent="0.25">
      <c r="A133" s="7" t="s">
        <v>58</v>
      </c>
      <c r="B133" s="2" t="s">
        <v>1786</v>
      </c>
      <c r="C133" s="2" t="s">
        <v>1787</v>
      </c>
      <c r="D133" s="2" t="s">
        <v>1788</v>
      </c>
      <c r="F133" s="3" t="s">
        <v>58</v>
      </c>
      <c r="G133" s="3" t="s">
        <v>59</v>
      </c>
      <c r="H133" s="3" t="s">
        <v>58</v>
      </c>
      <c r="I133" s="3" t="s">
        <v>58</v>
      </c>
      <c r="J133" s="3" t="s">
        <v>60</v>
      </c>
      <c r="K133" s="2" t="s">
        <v>1789</v>
      </c>
      <c r="L133" s="2" t="s">
        <v>1790</v>
      </c>
      <c r="M133" s="3" t="s">
        <v>759</v>
      </c>
      <c r="O133" s="3" t="s">
        <v>65</v>
      </c>
      <c r="P133" s="3" t="s">
        <v>1358</v>
      </c>
      <c r="R133" s="3" t="s">
        <v>68</v>
      </c>
      <c r="S133" s="4">
        <v>2</v>
      </c>
      <c r="T133" s="4">
        <v>2</v>
      </c>
      <c r="U133" s="5" t="s">
        <v>1791</v>
      </c>
      <c r="V133" s="5" t="s">
        <v>1791</v>
      </c>
      <c r="W133" s="5" t="s">
        <v>1209</v>
      </c>
      <c r="X133" s="5" t="s">
        <v>1209</v>
      </c>
      <c r="Y133" s="4">
        <v>238</v>
      </c>
      <c r="Z133" s="4">
        <v>207</v>
      </c>
      <c r="AA133" s="4">
        <v>212</v>
      </c>
      <c r="AB133" s="4">
        <v>2</v>
      </c>
      <c r="AC133" s="4">
        <v>2</v>
      </c>
      <c r="AD133" s="4">
        <v>18</v>
      </c>
      <c r="AE133" s="4">
        <v>18</v>
      </c>
      <c r="AF133" s="4">
        <v>6</v>
      </c>
      <c r="AG133" s="4">
        <v>6</v>
      </c>
      <c r="AH133" s="4">
        <v>5</v>
      </c>
      <c r="AI133" s="4">
        <v>5</v>
      </c>
      <c r="AJ133" s="4">
        <v>12</v>
      </c>
      <c r="AK133" s="4">
        <v>12</v>
      </c>
      <c r="AL133" s="4">
        <v>1</v>
      </c>
      <c r="AM133" s="4">
        <v>1</v>
      </c>
      <c r="AN133" s="4">
        <v>0</v>
      </c>
      <c r="AO133" s="4">
        <v>0</v>
      </c>
      <c r="AP133" s="3" t="s">
        <v>58</v>
      </c>
      <c r="AQ133" s="3" t="s">
        <v>132</v>
      </c>
      <c r="AR133" s="6" t="str">
        <f>HYPERLINK("http://catalog.hathitrust.org/Record/000923986","HathiTrust Record")</f>
        <v>HathiTrust Record</v>
      </c>
      <c r="AS133" s="6" t="str">
        <f>HYPERLINK("https://creighton-primo.hosted.exlibrisgroup.com/primo-explore/search?tab=default_tab&amp;search_scope=EVERYTHING&amp;vid=01CRU&amp;lang=en_US&amp;offset=0&amp;query=any,contains,991000931679702656","Catalog Record")</f>
        <v>Catalog Record</v>
      </c>
      <c r="AT133" s="6" t="str">
        <f>HYPERLINK("http://www.worldcat.org/oclc/14272760","WorldCat Record")</f>
        <v>WorldCat Record</v>
      </c>
      <c r="AU133" s="3" t="s">
        <v>1792</v>
      </c>
      <c r="AV133" s="3" t="s">
        <v>1793</v>
      </c>
      <c r="AW133" s="3" t="s">
        <v>1794</v>
      </c>
      <c r="AX133" s="3" t="s">
        <v>1794</v>
      </c>
      <c r="AY133" s="3" t="s">
        <v>1795</v>
      </c>
      <c r="AZ133" s="3" t="s">
        <v>75</v>
      </c>
      <c r="BB133" s="3" t="s">
        <v>1796</v>
      </c>
      <c r="BC133" s="3" t="s">
        <v>1797</v>
      </c>
      <c r="BD133" s="3" t="s">
        <v>1798</v>
      </c>
    </row>
    <row r="134" spans="1:56" ht="39" customHeight="1" x14ac:dyDescent="0.25">
      <c r="A134" s="7" t="s">
        <v>58</v>
      </c>
      <c r="B134" s="2" t="s">
        <v>1799</v>
      </c>
      <c r="C134" s="2" t="s">
        <v>1800</v>
      </c>
      <c r="D134" s="2" t="s">
        <v>1801</v>
      </c>
      <c r="F134" s="3" t="s">
        <v>58</v>
      </c>
      <c r="G134" s="3" t="s">
        <v>59</v>
      </c>
      <c r="H134" s="3" t="s">
        <v>58</v>
      </c>
      <c r="I134" s="3" t="s">
        <v>58</v>
      </c>
      <c r="J134" s="3" t="s">
        <v>60</v>
      </c>
      <c r="K134" s="2" t="s">
        <v>1802</v>
      </c>
      <c r="L134" s="2" t="s">
        <v>228</v>
      </c>
      <c r="M134" s="3" t="s">
        <v>229</v>
      </c>
      <c r="O134" s="3" t="s">
        <v>65</v>
      </c>
      <c r="P134" s="3" t="s">
        <v>230</v>
      </c>
      <c r="R134" s="3" t="s">
        <v>68</v>
      </c>
      <c r="S134" s="4">
        <v>7</v>
      </c>
      <c r="T134" s="4">
        <v>7</v>
      </c>
      <c r="U134" s="5" t="s">
        <v>1803</v>
      </c>
      <c r="V134" s="5" t="s">
        <v>1803</v>
      </c>
      <c r="W134" s="5" t="s">
        <v>1804</v>
      </c>
      <c r="X134" s="5" t="s">
        <v>1804</v>
      </c>
      <c r="Y134" s="4">
        <v>291</v>
      </c>
      <c r="Z134" s="4">
        <v>248</v>
      </c>
      <c r="AA134" s="4">
        <v>252</v>
      </c>
      <c r="AB134" s="4">
        <v>1</v>
      </c>
      <c r="AC134" s="4">
        <v>1</v>
      </c>
      <c r="AD134" s="4">
        <v>16</v>
      </c>
      <c r="AE134" s="4">
        <v>16</v>
      </c>
      <c r="AF134" s="4">
        <v>6</v>
      </c>
      <c r="AG134" s="4">
        <v>6</v>
      </c>
      <c r="AH134" s="4">
        <v>5</v>
      </c>
      <c r="AI134" s="4">
        <v>5</v>
      </c>
      <c r="AJ134" s="4">
        <v>10</v>
      </c>
      <c r="AK134" s="4">
        <v>10</v>
      </c>
      <c r="AL134" s="4">
        <v>0</v>
      </c>
      <c r="AM134" s="4">
        <v>0</v>
      </c>
      <c r="AN134" s="4">
        <v>0</v>
      </c>
      <c r="AO134" s="4">
        <v>0</v>
      </c>
      <c r="AP134" s="3" t="s">
        <v>58</v>
      </c>
      <c r="AQ134" s="3" t="s">
        <v>58</v>
      </c>
      <c r="AS134" s="6" t="str">
        <f>HYPERLINK("https://creighton-primo.hosted.exlibrisgroup.com/primo-explore/search?tab=default_tab&amp;search_scope=EVERYTHING&amp;vid=01CRU&amp;lang=en_US&amp;offset=0&amp;query=any,contains,991001443789702656","Catalog Record")</f>
        <v>Catalog Record</v>
      </c>
      <c r="AT134" s="6" t="str">
        <f>HYPERLINK("http://www.worldcat.org/oclc/19266467","WorldCat Record")</f>
        <v>WorldCat Record</v>
      </c>
      <c r="AU134" s="3" t="s">
        <v>1805</v>
      </c>
      <c r="AV134" s="3" t="s">
        <v>1806</v>
      </c>
      <c r="AW134" s="3" t="s">
        <v>1807</v>
      </c>
      <c r="AX134" s="3" t="s">
        <v>1807</v>
      </c>
      <c r="AY134" s="3" t="s">
        <v>1808</v>
      </c>
      <c r="AZ134" s="3" t="s">
        <v>75</v>
      </c>
      <c r="BB134" s="3" t="s">
        <v>1809</v>
      </c>
      <c r="BC134" s="3" t="s">
        <v>1810</v>
      </c>
      <c r="BD134" s="3" t="s">
        <v>1811</v>
      </c>
    </row>
    <row r="135" spans="1:56" ht="39" customHeight="1" x14ac:dyDescent="0.25">
      <c r="A135" s="7" t="s">
        <v>58</v>
      </c>
      <c r="B135" s="2" t="s">
        <v>1812</v>
      </c>
      <c r="C135" s="2" t="s">
        <v>1813</v>
      </c>
      <c r="D135" s="2" t="s">
        <v>1814</v>
      </c>
      <c r="F135" s="3" t="s">
        <v>58</v>
      </c>
      <c r="G135" s="3" t="s">
        <v>59</v>
      </c>
      <c r="H135" s="3" t="s">
        <v>58</v>
      </c>
      <c r="I135" s="3" t="s">
        <v>58</v>
      </c>
      <c r="J135" s="3" t="s">
        <v>60</v>
      </c>
      <c r="K135" s="2" t="s">
        <v>1815</v>
      </c>
      <c r="L135" s="2" t="s">
        <v>1816</v>
      </c>
      <c r="M135" s="3" t="s">
        <v>83</v>
      </c>
      <c r="O135" s="3" t="s">
        <v>65</v>
      </c>
      <c r="P135" s="3" t="s">
        <v>186</v>
      </c>
      <c r="R135" s="3" t="s">
        <v>68</v>
      </c>
      <c r="S135" s="4">
        <v>6</v>
      </c>
      <c r="T135" s="4">
        <v>6</v>
      </c>
      <c r="U135" s="5" t="s">
        <v>1817</v>
      </c>
      <c r="V135" s="5" t="s">
        <v>1817</v>
      </c>
      <c r="W135" s="5" t="s">
        <v>1209</v>
      </c>
      <c r="X135" s="5" t="s">
        <v>1209</v>
      </c>
      <c r="Y135" s="4">
        <v>228</v>
      </c>
      <c r="Z135" s="4">
        <v>203</v>
      </c>
      <c r="AA135" s="4">
        <v>261</v>
      </c>
      <c r="AB135" s="4">
        <v>2</v>
      </c>
      <c r="AC135" s="4">
        <v>3</v>
      </c>
      <c r="AD135" s="4">
        <v>27</v>
      </c>
      <c r="AE135" s="4">
        <v>31</v>
      </c>
      <c r="AF135" s="4">
        <v>10</v>
      </c>
      <c r="AG135" s="4">
        <v>11</v>
      </c>
      <c r="AH135" s="4">
        <v>8</v>
      </c>
      <c r="AI135" s="4">
        <v>9</v>
      </c>
      <c r="AJ135" s="4">
        <v>17</v>
      </c>
      <c r="AK135" s="4">
        <v>21</v>
      </c>
      <c r="AL135" s="4">
        <v>0</v>
      </c>
      <c r="AM135" s="4">
        <v>0</v>
      </c>
      <c r="AN135" s="4">
        <v>0</v>
      </c>
      <c r="AO135" s="4">
        <v>0</v>
      </c>
      <c r="AP135" s="3" t="s">
        <v>58</v>
      </c>
      <c r="AQ135" s="3" t="s">
        <v>58</v>
      </c>
      <c r="AS135" s="6" t="str">
        <f>HYPERLINK("https://creighton-primo.hosted.exlibrisgroup.com/primo-explore/search?tab=default_tab&amp;search_scope=EVERYTHING&amp;vid=01CRU&amp;lang=en_US&amp;offset=0&amp;query=any,contains,991003559279702656","Catalog Record")</f>
        <v>Catalog Record</v>
      </c>
      <c r="AT135" s="6" t="str">
        <f>HYPERLINK("http://www.worldcat.org/oclc/1129393","WorldCat Record")</f>
        <v>WorldCat Record</v>
      </c>
      <c r="AU135" s="3" t="s">
        <v>1818</v>
      </c>
      <c r="AV135" s="3" t="s">
        <v>1819</v>
      </c>
      <c r="AW135" s="3" t="s">
        <v>1820</v>
      </c>
      <c r="AX135" s="3" t="s">
        <v>1820</v>
      </c>
      <c r="AY135" s="3" t="s">
        <v>1821</v>
      </c>
      <c r="AZ135" s="3" t="s">
        <v>75</v>
      </c>
      <c r="BC135" s="3" t="s">
        <v>1822</v>
      </c>
      <c r="BD135" s="3" t="s">
        <v>1823</v>
      </c>
    </row>
    <row r="136" spans="1:56" ht="39" customHeight="1" x14ac:dyDescent="0.25">
      <c r="A136" s="7" t="s">
        <v>58</v>
      </c>
      <c r="B136" s="2" t="s">
        <v>1824</v>
      </c>
      <c r="C136" s="2" t="s">
        <v>1825</v>
      </c>
      <c r="D136" s="2" t="s">
        <v>1826</v>
      </c>
      <c r="F136" s="3" t="s">
        <v>58</v>
      </c>
      <c r="G136" s="3" t="s">
        <v>59</v>
      </c>
      <c r="H136" s="3" t="s">
        <v>58</v>
      </c>
      <c r="I136" s="3" t="s">
        <v>58</v>
      </c>
      <c r="J136" s="3" t="s">
        <v>60</v>
      </c>
      <c r="K136" s="2" t="s">
        <v>1634</v>
      </c>
      <c r="L136" s="2" t="s">
        <v>1827</v>
      </c>
      <c r="M136" s="3" t="s">
        <v>98</v>
      </c>
      <c r="N136" s="2" t="s">
        <v>1828</v>
      </c>
      <c r="O136" s="3" t="s">
        <v>65</v>
      </c>
      <c r="P136" s="3" t="s">
        <v>186</v>
      </c>
      <c r="R136" s="3" t="s">
        <v>68</v>
      </c>
      <c r="S136" s="4">
        <v>3</v>
      </c>
      <c r="T136" s="4">
        <v>3</v>
      </c>
      <c r="U136" s="5" t="s">
        <v>1829</v>
      </c>
      <c r="V136" s="5" t="s">
        <v>1829</v>
      </c>
      <c r="W136" s="5" t="s">
        <v>1209</v>
      </c>
      <c r="X136" s="5" t="s">
        <v>1209</v>
      </c>
      <c r="Y136" s="4">
        <v>226</v>
      </c>
      <c r="Z136" s="4">
        <v>204</v>
      </c>
      <c r="AA136" s="4">
        <v>286</v>
      </c>
      <c r="AB136" s="4">
        <v>3</v>
      </c>
      <c r="AC136" s="4">
        <v>3</v>
      </c>
      <c r="AD136" s="4">
        <v>29</v>
      </c>
      <c r="AE136" s="4">
        <v>33</v>
      </c>
      <c r="AF136" s="4">
        <v>12</v>
      </c>
      <c r="AG136" s="4">
        <v>14</v>
      </c>
      <c r="AH136" s="4">
        <v>5</v>
      </c>
      <c r="AI136" s="4">
        <v>7</v>
      </c>
      <c r="AJ136" s="4">
        <v>21</v>
      </c>
      <c r="AK136" s="4">
        <v>22</v>
      </c>
      <c r="AL136" s="4">
        <v>0</v>
      </c>
      <c r="AM136" s="4">
        <v>0</v>
      </c>
      <c r="AN136" s="4">
        <v>0</v>
      </c>
      <c r="AO136" s="4">
        <v>0</v>
      </c>
      <c r="AP136" s="3" t="s">
        <v>58</v>
      </c>
      <c r="AQ136" s="3" t="s">
        <v>58</v>
      </c>
      <c r="AS136" s="6" t="str">
        <f>HYPERLINK("https://creighton-primo.hosted.exlibrisgroup.com/primo-explore/search?tab=default_tab&amp;search_scope=EVERYTHING&amp;vid=01CRU&amp;lang=en_US&amp;offset=0&amp;query=any,contains,991003571379702656","Catalog Record")</f>
        <v>Catalog Record</v>
      </c>
      <c r="AT136" s="6" t="str">
        <f>HYPERLINK("http://www.worldcat.org/oclc/1146537","WorldCat Record")</f>
        <v>WorldCat Record</v>
      </c>
      <c r="AU136" s="3" t="s">
        <v>1830</v>
      </c>
      <c r="AV136" s="3" t="s">
        <v>1831</v>
      </c>
      <c r="AW136" s="3" t="s">
        <v>1832</v>
      </c>
      <c r="AX136" s="3" t="s">
        <v>1832</v>
      </c>
      <c r="AY136" s="3" t="s">
        <v>1833</v>
      </c>
      <c r="AZ136" s="3" t="s">
        <v>75</v>
      </c>
      <c r="BC136" s="3" t="s">
        <v>1834</v>
      </c>
      <c r="BD136" s="3" t="s">
        <v>1835</v>
      </c>
    </row>
    <row r="137" spans="1:56" ht="39" customHeight="1" x14ac:dyDescent="0.25">
      <c r="A137" s="7" t="s">
        <v>58</v>
      </c>
      <c r="B137" s="2" t="s">
        <v>1836</v>
      </c>
      <c r="C137" s="2" t="s">
        <v>1837</v>
      </c>
      <c r="D137" s="2" t="s">
        <v>1838</v>
      </c>
      <c r="F137" s="3" t="s">
        <v>58</v>
      </c>
      <c r="G137" s="3" t="s">
        <v>59</v>
      </c>
      <c r="H137" s="3" t="s">
        <v>58</v>
      </c>
      <c r="I137" s="3" t="s">
        <v>58</v>
      </c>
      <c r="J137" s="3" t="s">
        <v>60</v>
      </c>
      <c r="L137" s="2" t="s">
        <v>1839</v>
      </c>
      <c r="M137" s="3" t="s">
        <v>157</v>
      </c>
      <c r="O137" s="3" t="s">
        <v>65</v>
      </c>
      <c r="P137" s="3" t="s">
        <v>66</v>
      </c>
      <c r="Q137" s="2" t="s">
        <v>1840</v>
      </c>
      <c r="R137" s="3" t="s">
        <v>68</v>
      </c>
      <c r="S137" s="4">
        <v>2</v>
      </c>
      <c r="T137" s="4">
        <v>2</v>
      </c>
      <c r="U137" s="5" t="s">
        <v>1841</v>
      </c>
      <c r="V137" s="5" t="s">
        <v>1841</v>
      </c>
      <c r="W137" s="5" t="s">
        <v>1209</v>
      </c>
      <c r="X137" s="5" t="s">
        <v>1209</v>
      </c>
      <c r="Y137" s="4">
        <v>101</v>
      </c>
      <c r="Z137" s="4">
        <v>56</v>
      </c>
      <c r="AA137" s="4">
        <v>58</v>
      </c>
      <c r="AB137" s="4">
        <v>1</v>
      </c>
      <c r="AC137" s="4">
        <v>1</v>
      </c>
      <c r="AD137" s="4">
        <v>6</v>
      </c>
      <c r="AE137" s="4">
        <v>6</v>
      </c>
      <c r="AF137" s="4">
        <v>1</v>
      </c>
      <c r="AG137" s="4">
        <v>1</v>
      </c>
      <c r="AH137" s="4">
        <v>3</v>
      </c>
      <c r="AI137" s="4">
        <v>3</v>
      </c>
      <c r="AJ137" s="4">
        <v>3</v>
      </c>
      <c r="AK137" s="4">
        <v>3</v>
      </c>
      <c r="AL137" s="4">
        <v>0</v>
      </c>
      <c r="AM137" s="4">
        <v>0</v>
      </c>
      <c r="AN137" s="4">
        <v>0</v>
      </c>
      <c r="AO137" s="4">
        <v>0</v>
      </c>
      <c r="AP137" s="3" t="s">
        <v>58</v>
      </c>
      <c r="AQ137" s="3" t="s">
        <v>132</v>
      </c>
      <c r="AR137" s="6" t="str">
        <f>HYPERLINK("http://catalog.hathitrust.org/Record/102062905","HathiTrust Record")</f>
        <v>HathiTrust Record</v>
      </c>
      <c r="AS137" s="6" t="str">
        <f>HYPERLINK("https://creighton-primo.hosted.exlibrisgroup.com/primo-explore/search?tab=default_tab&amp;search_scope=EVERYTHING&amp;vid=01CRU&amp;lang=en_US&amp;offset=0&amp;query=any,contains,991000314379702656","Catalog Record")</f>
        <v>Catalog Record</v>
      </c>
      <c r="AT137" s="6" t="str">
        <f>HYPERLINK("http://www.worldcat.org/oclc/16596140","WorldCat Record")</f>
        <v>WorldCat Record</v>
      </c>
      <c r="AU137" s="3" t="s">
        <v>1842</v>
      </c>
      <c r="AV137" s="3" t="s">
        <v>1843</v>
      </c>
      <c r="AW137" s="3" t="s">
        <v>1844</v>
      </c>
      <c r="AX137" s="3" t="s">
        <v>1844</v>
      </c>
      <c r="AY137" s="3" t="s">
        <v>1845</v>
      </c>
      <c r="AZ137" s="3" t="s">
        <v>75</v>
      </c>
      <c r="BB137" s="3" t="s">
        <v>1846</v>
      </c>
      <c r="BC137" s="3" t="s">
        <v>1847</v>
      </c>
      <c r="BD137" s="3" t="s">
        <v>1848</v>
      </c>
    </row>
    <row r="138" spans="1:56" ht="39" customHeight="1" x14ac:dyDescent="0.25">
      <c r="A138" s="7" t="s">
        <v>58</v>
      </c>
      <c r="B138" s="2" t="s">
        <v>1849</v>
      </c>
      <c r="C138" s="2" t="s">
        <v>1850</v>
      </c>
      <c r="D138" s="2" t="s">
        <v>1851</v>
      </c>
      <c r="F138" s="3" t="s">
        <v>58</v>
      </c>
      <c r="G138" s="3" t="s">
        <v>59</v>
      </c>
      <c r="H138" s="3" t="s">
        <v>58</v>
      </c>
      <c r="I138" s="3" t="s">
        <v>58</v>
      </c>
      <c r="J138" s="3" t="s">
        <v>60</v>
      </c>
      <c r="K138" s="2" t="s">
        <v>1852</v>
      </c>
      <c r="L138" s="2" t="s">
        <v>1853</v>
      </c>
      <c r="M138" s="3" t="s">
        <v>98</v>
      </c>
      <c r="O138" s="3" t="s">
        <v>65</v>
      </c>
      <c r="P138" s="3" t="s">
        <v>245</v>
      </c>
      <c r="R138" s="3" t="s">
        <v>68</v>
      </c>
      <c r="S138" s="4">
        <v>9</v>
      </c>
      <c r="T138" s="4">
        <v>9</v>
      </c>
      <c r="U138" s="5" t="s">
        <v>1777</v>
      </c>
      <c r="V138" s="5" t="s">
        <v>1777</v>
      </c>
      <c r="W138" s="5" t="s">
        <v>1854</v>
      </c>
      <c r="X138" s="5" t="s">
        <v>1854</v>
      </c>
      <c r="Y138" s="4">
        <v>330</v>
      </c>
      <c r="Z138" s="4">
        <v>305</v>
      </c>
      <c r="AA138" s="4">
        <v>405</v>
      </c>
      <c r="AB138" s="4">
        <v>5</v>
      </c>
      <c r="AC138" s="4">
        <v>5</v>
      </c>
      <c r="AD138" s="4">
        <v>21</v>
      </c>
      <c r="AE138" s="4">
        <v>24</v>
      </c>
      <c r="AF138" s="4">
        <v>8</v>
      </c>
      <c r="AG138" s="4">
        <v>9</v>
      </c>
      <c r="AH138" s="4">
        <v>5</v>
      </c>
      <c r="AI138" s="4">
        <v>8</v>
      </c>
      <c r="AJ138" s="4">
        <v>10</v>
      </c>
      <c r="AK138" s="4">
        <v>11</v>
      </c>
      <c r="AL138" s="4">
        <v>3</v>
      </c>
      <c r="AM138" s="4">
        <v>3</v>
      </c>
      <c r="AN138" s="4">
        <v>0</v>
      </c>
      <c r="AO138" s="4">
        <v>0</v>
      </c>
      <c r="AP138" s="3" t="s">
        <v>58</v>
      </c>
      <c r="AQ138" s="3" t="s">
        <v>58</v>
      </c>
      <c r="AS138" s="6" t="str">
        <f>HYPERLINK("https://creighton-primo.hosted.exlibrisgroup.com/primo-explore/search?tab=default_tab&amp;search_scope=EVERYTHING&amp;vid=01CRU&amp;lang=en_US&amp;offset=0&amp;query=any,contains,991003058989702656","Catalog Record")</f>
        <v>Catalog Record</v>
      </c>
      <c r="AT138" s="6" t="str">
        <f>HYPERLINK("http://www.worldcat.org/oclc/616881","WorldCat Record")</f>
        <v>WorldCat Record</v>
      </c>
      <c r="AU138" s="3" t="s">
        <v>1855</v>
      </c>
      <c r="AV138" s="3" t="s">
        <v>1856</v>
      </c>
      <c r="AW138" s="3" t="s">
        <v>1857</v>
      </c>
      <c r="AX138" s="3" t="s">
        <v>1857</v>
      </c>
      <c r="AY138" s="3" t="s">
        <v>1858</v>
      </c>
      <c r="AZ138" s="3" t="s">
        <v>75</v>
      </c>
      <c r="BC138" s="3" t="s">
        <v>1859</v>
      </c>
      <c r="BD138" s="3" t="s">
        <v>1860</v>
      </c>
    </row>
    <row r="139" spans="1:56" ht="39" customHeight="1" x14ac:dyDescent="0.25">
      <c r="A139" s="7" t="s">
        <v>58</v>
      </c>
      <c r="B139" s="2" t="s">
        <v>1861</v>
      </c>
      <c r="C139" s="2" t="s">
        <v>1862</v>
      </c>
      <c r="D139" s="2" t="s">
        <v>1863</v>
      </c>
      <c r="F139" s="3" t="s">
        <v>58</v>
      </c>
      <c r="G139" s="3" t="s">
        <v>59</v>
      </c>
      <c r="H139" s="3" t="s">
        <v>58</v>
      </c>
      <c r="I139" s="3" t="s">
        <v>58</v>
      </c>
      <c r="J139" s="3" t="s">
        <v>60</v>
      </c>
      <c r="K139" s="2" t="s">
        <v>213</v>
      </c>
      <c r="L139" s="2" t="s">
        <v>1864</v>
      </c>
      <c r="M139" s="3" t="s">
        <v>83</v>
      </c>
      <c r="O139" s="3" t="s">
        <v>65</v>
      </c>
      <c r="P139" s="3" t="s">
        <v>954</v>
      </c>
      <c r="Q139" s="2" t="s">
        <v>1865</v>
      </c>
      <c r="R139" s="3" t="s">
        <v>68</v>
      </c>
      <c r="S139" s="4">
        <v>1</v>
      </c>
      <c r="T139" s="4">
        <v>1</v>
      </c>
      <c r="U139" s="5" t="s">
        <v>1866</v>
      </c>
      <c r="V139" s="5" t="s">
        <v>1866</v>
      </c>
      <c r="W139" s="5" t="s">
        <v>1867</v>
      </c>
      <c r="X139" s="5" t="s">
        <v>1867</v>
      </c>
      <c r="Y139" s="4">
        <v>220</v>
      </c>
      <c r="Z139" s="4">
        <v>154</v>
      </c>
      <c r="AA139" s="4">
        <v>156</v>
      </c>
      <c r="AB139" s="4">
        <v>1</v>
      </c>
      <c r="AC139" s="4">
        <v>1</v>
      </c>
      <c r="AD139" s="4">
        <v>15</v>
      </c>
      <c r="AE139" s="4">
        <v>15</v>
      </c>
      <c r="AF139" s="4">
        <v>2</v>
      </c>
      <c r="AG139" s="4">
        <v>2</v>
      </c>
      <c r="AH139" s="4">
        <v>5</v>
      </c>
      <c r="AI139" s="4">
        <v>5</v>
      </c>
      <c r="AJ139" s="4">
        <v>11</v>
      </c>
      <c r="AK139" s="4">
        <v>11</v>
      </c>
      <c r="AL139" s="4">
        <v>0</v>
      </c>
      <c r="AM139" s="4">
        <v>0</v>
      </c>
      <c r="AN139" s="4">
        <v>0</v>
      </c>
      <c r="AO139" s="4">
        <v>0</v>
      </c>
      <c r="AP139" s="3" t="s">
        <v>58</v>
      </c>
      <c r="AQ139" s="3" t="s">
        <v>58</v>
      </c>
      <c r="AS139" s="6" t="str">
        <f>HYPERLINK("https://creighton-primo.hosted.exlibrisgroup.com/primo-explore/search?tab=default_tab&amp;search_scope=EVERYTHING&amp;vid=01CRU&amp;lang=en_US&amp;offset=0&amp;query=any,contains,991003248159702656","Catalog Record")</f>
        <v>Catalog Record</v>
      </c>
      <c r="AT139" s="6" t="str">
        <f>HYPERLINK("http://www.worldcat.org/oclc/772909","WorldCat Record")</f>
        <v>WorldCat Record</v>
      </c>
      <c r="AU139" s="3" t="s">
        <v>1868</v>
      </c>
      <c r="AV139" s="3" t="s">
        <v>1869</v>
      </c>
      <c r="AW139" s="3" t="s">
        <v>1870</v>
      </c>
      <c r="AX139" s="3" t="s">
        <v>1870</v>
      </c>
      <c r="AY139" s="3" t="s">
        <v>1871</v>
      </c>
      <c r="AZ139" s="3" t="s">
        <v>75</v>
      </c>
      <c r="BC139" s="3" t="s">
        <v>1872</v>
      </c>
      <c r="BD139" s="3" t="s">
        <v>1873</v>
      </c>
    </row>
    <row r="140" spans="1:56" ht="39" customHeight="1" x14ac:dyDescent="0.25">
      <c r="A140" s="7" t="s">
        <v>58</v>
      </c>
      <c r="B140" s="2" t="s">
        <v>1874</v>
      </c>
      <c r="C140" s="2" t="s">
        <v>1875</v>
      </c>
      <c r="D140" s="2" t="s">
        <v>1876</v>
      </c>
      <c r="F140" s="3" t="s">
        <v>58</v>
      </c>
      <c r="G140" s="3" t="s">
        <v>59</v>
      </c>
      <c r="H140" s="3" t="s">
        <v>58</v>
      </c>
      <c r="I140" s="3" t="s">
        <v>58</v>
      </c>
      <c r="J140" s="3" t="s">
        <v>60</v>
      </c>
      <c r="L140" s="2" t="s">
        <v>1877</v>
      </c>
      <c r="M140" s="3" t="s">
        <v>374</v>
      </c>
      <c r="N140" s="2" t="s">
        <v>476</v>
      </c>
      <c r="O140" s="3" t="s">
        <v>65</v>
      </c>
      <c r="P140" s="3" t="s">
        <v>1724</v>
      </c>
      <c r="R140" s="3" t="s">
        <v>68</v>
      </c>
      <c r="S140" s="4">
        <v>1</v>
      </c>
      <c r="T140" s="4">
        <v>1</v>
      </c>
      <c r="U140" s="5" t="s">
        <v>1878</v>
      </c>
      <c r="V140" s="5" t="s">
        <v>1878</v>
      </c>
      <c r="W140" s="5" t="s">
        <v>1879</v>
      </c>
      <c r="X140" s="5" t="s">
        <v>1879</v>
      </c>
      <c r="Y140" s="4">
        <v>242</v>
      </c>
      <c r="Z140" s="4">
        <v>199</v>
      </c>
      <c r="AA140" s="4">
        <v>718</v>
      </c>
      <c r="AB140" s="4">
        <v>1</v>
      </c>
      <c r="AC140" s="4">
        <v>25</v>
      </c>
      <c r="AD140" s="4">
        <v>7</v>
      </c>
      <c r="AE140" s="4">
        <v>21</v>
      </c>
      <c r="AF140" s="4">
        <v>4</v>
      </c>
      <c r="AG140" s="4">
        <v>7</v>
      </c>
      <c r="AH140" s="4">
        <v>2</v>
      </c>
      <c r="AI140" s="4">
        <v>2</v>
      </c>
      <c r="AJ140" s="4">
        <v>3</v>
      </c>
      <c r="AK140" s="4">
        <v>4</v>
      </c>
      <c r="AL140" s="4">
        <v>0</v>
      </c>
      <c r="AM140" s="4">
        <v>10</v>
      </c>
      <c r="AN140" s="4">
        <v>0</v>
      </c>
      <c r="AO140" s="4">
        <v>0</v>
      </c>
      <c r="AP140" s="3" t="s">
        <v>58</v>
      </c>
      <c r="AQ140" s="3" t="s">
        <v>58</v>
      </c>
      <c r="AS140" s="6" t="str">
        <f>HYPERLINK("https://creighton-primo.hosted.exlibrisgroup.com/primo-explore/search?tab=default_tab&amp;search_scope=EVERYTHING&amp;vid=01CRU&amp;lang=en_US&amp;offset=0&amp;query=any,contains,991002361769702656","Catalog Record")</f>
        <v>Catalog Record</v>
      </c>
      <c r="AT140" s="6" t="str">
        <f>HYPERLINK("http://www.worldcat.org/oclc/30703600","WorldCat Record")</f>
        <v>WorldCat Record</v>
      </c>
      <c r="AU140" s="3" t="s">
        <v>1880</v>
      </c>
      <c r="AV140" s="3" t="s">
        <v>1881</v>
      </c>
      <c r="AW140" s="3" t="s">
        <v>1882</v>
      </c>
      <c r="AX140" s="3" t="s">
        <v>1882</v>
      </c>
      <c r="AY140" s="3" t="s">
        <v>1883</v>
      </c>
      <c r="AZ140" s="3" t="s">
        <v>75</v>
      </c>
      <c r="BB140" s="3" t="s">
        <v>1884</v>
      </c>
      <c r="BC140" s="3" t="s">
        <v>1885</v>
      </c>
      <c r="BD140" s="3" t="s">
        <v>1886</v>
      </c>
    </row>
    <row r="141" spans="1:56" ht="39" customHeight="1" x14ac:dyDescent="0.25">
      <c r="A141" s="7" t="s">
        <v>58</v>
      </c>
      <c r="B141" s="2" t="s">
        <v>1887</v>
      </c>
      <c r="C141" s="2" t="s">
        <v>1888</v>
      </c>
      <c r="D141" s="2" t="s">
        <v>1889</v>
      </c>
      <c r="F141" s="3" t="s">
        <v>58</v>
      </c>
      <c r="G141" s="3" t="s">
        <v>59</v>
      </c>
      <c r="H141" s="3" t="s">
        <v>58</v>
      </c>
      <c r="I141" s="3" t="s">
        <v>58</v>
      </c>
      <c r="J141" s="3" t="s">
        <v>60</v>
      </c>
      <c r="K141" s="2" t="s">
        <v>1890</v>
      </c>
      <c r="L141" s="2" t="s">
        <v>1891</v>
      </c>
      <c r="M141" s="3" t="s">
        <v>845</v>
      </c>
      <c r="O141" s="3" t="s">
        <v>65</v>
      </c>
      <c r="P141" s="3" t="s">
        <v>1345</v>
      </c>
      <c r="R141" s="3" t="s">
        <v>68</v>
      </c>
      <c r="S141" s="4">
        <v>1</v>
      </c>
      <c r="T141" s="4">
        <v>1</v>
      </c>
      <c r="U141" s="5" t="s">
        <v>1084</v>
      </c>
      <c r="V141" s="5" t="s">
        <v>1084</v>
      </c>
      <c r="W141" s="5" t="s">
        <v>1084</v>
      </c>
      <c r="X141" s="5" t="s">
        <v>1084</v>
      </c>
      <c r="Y141" s="4">
        <v>68</v>
      </c>
      <c r="Z141" s="4">
        <v>61</v>
      </c>
      <c r="AA141" s="4">
        <v>66</v>
      </c>
      <c r="AB141" s="4">
        <v>1</v>
      </c>
      <c r="AC141" s="4">
        <v>1</v>
      </c>
      <c r="AD141" s="4">
        <v>3</v>
      </c>
      <c r="AE141" s="4">
        <v>3</v>
      </c>
      <c r="AF141" s="4">
        <v>2</v>
      </c>
      <c r="AG141" s="4">
        <v>2</v>
      </c>
      <c r="AH141" s="4">
        <v>1</v>
      </c>
      <c r="AI141" s="4">
        <v>1</v>
      </c>
      <c r="AJ141" s="4">
        <v>1</v>
      </c>
      <c r="AK141" s="4">
        <v>1</v>
      </c>
      <c r="AL141" s="4">
        <v>0</v>
      </c>
      <c r="AM141" s="4">
        <v>0</v>
      </c>
      <c r="AN141" s="4">
        <v>0</v>
      </c>
      <c r="AO141" s="4">
        <v>0</v>
      </c>
      <c r="AP141" s="3" t="s">
        <v>58</v>
      </c>
      <c r="AQ141" s="3" t="s">
        <v>58</v>
      </c>
      <c r="AS141" s="6" t="str">
        <f>HYPERLINK("https://creighton-primo.hosted.exlibrisgroup.com/primo-explore/search?tab=default_tab&amp;search_scope=EVERYTHING&amp;vid=01CRU&amp;lang=en_US&amp;offset=0&amp;query=any,contains,991004530049702656","Catalog Record")</f>
        <v>Catalog Record</v>
      </c>
      <c r="AT141" s="6" t="str">
        <f>HYPERLINK("http://www.worldcat.org/oclc/106663","WorldCat Record")</f>
        <v>WorldCat Record</v>
      </c>
      <c r="AU141" s="3" t="s">
        <v>1892</v>
      </c>
      <c r="AV141" s="3" t="s">
        <v>1893</v>
      </c>
      <c r="AW141" s="3" t="s">
        <v>1894</v>
      </c>
      <c r="AX141" s="3" t="s">
        <v>1894</v>
      </c>
      <c r="AY141" s="3" t="s">
        <v>1895</v>
      </c>
      <c r="AZ141" s="3" t="s">
        <v>75</v>
      </c>
      <c r="BB141" s="3" t="s">
        <v>1896</v>
      </c>
      <c r="BC141" s="3" t="s">
        <v>1897</v>
      </c>
      <c r="BD141" s="3" t="s">
        <v>1898</v>
      </c>
    </row>
    <row r="142" spans="1:56" ht="39" customHeight="1" x14ac:dyDescent="0.25">
      <c r="A142" s="7" t="s">
        <v>58</v>
      </c>
      <c r="B142" s="2" t="s">
        <v>1899</v>
      </c>
      <c r="C142" s="2" t="s">
        <v>1900</v>
      </c>
      <c r="D142" s="2" t="s">
        <v>1901</v>
      </c>
      <c r="E142" s="3" t="s">
        <v>1902</v>
      </c>
      <c r="F142" s="3" t="s">
        <v>132</v>
      </c>
      <c r="G142" s="3" t="s">
        <v>59</v>
      </c>
      <c r="H142" s="3" t="s">
        <v>58</v>
      </c>
      <c r="I142" s="3" t="s">
        <v>58</v>
      </c>
      <c r="J142" s="3" t="s">
        <v>60</v>
      </c>
      <c r="K142" s="2" t="s">
        <v>1903</v>
      </c>
      <c r="L142" s="2" t="s">
        <v>1904</v>
      </c>
      <c r="M142" s="3" t="s">
        <v>1905</v>
      </c>
      <c r="O142" s="3" t="s">
        <v>65</v>
      </c>
      <c r="P142" s="3" t="s">
        <v>186</v>
      </c>
      <c r="R142" s="3" t="s">
        <v>68</v>
      </c>
      <c r="S142" s="4">
        <v>0</v>
      </c>
      <c r="T142" s="4">
        <v>2</v>
      </c>
      <c r="V142" s="5" t="s">
        <v>1906</v>
      </c>
      <c r="W142" s="5" t="s">
        <v>1048</v>
      </c>
      <c r="X142" s="5" t="s">
        <v>1048</v>
      </c>
      <c r="Y142" s="4">
        <v>316</v>
      </c>
      <c r="Z142" s="4">
        <v>288</v>
      </c>
      <c r="AA142" s="4">
        <v>290</v>
      </c>
      <c r="AB142" s="4">
        <v>5</v>
      </c>
      <c r="AC142" s="4">
        <v>5</v>
      </c>
      <c r="AD142" s="4">
        <v>12</v>
      </c>
      <c r="AE142" s="4">
        <v>12</v>
      </c>
      <c r="AF142" s="4">
        <v>4</v>
      </c>
      <c r="AG142" s="4">
        <v>4</v>
      </c>
      <c r="AH142" s="4">
        <v>2</v>
      </c>
      <c r="AI142" s="4">
        <v>2</v>
      </c>
      <c r="AJ142" s="4">
        <v>3</v>
      </c>
      <c r="AK142" s="4">
        <v>3</v>
      </c>
      <c r="AL142" s="4">
        <v>4</v>
      </c>
      <c r="AM142" s="4">
        <v>4</v>
      </c>
      <c r="AN142" s="4">
        <v>0</v>
      </c>
      <c r="AO142" s="4">
        <v>0</v>
      </c>
      <c r="AP142" s="3" t="s">
        <v>58</v>
      </c>
      <c r="AQ142" s="3" t="s">
        <v>132</v>
      </c>
      <c r="AR142" s="6" t="str">
        <f t="shared" ref="AR142:AR148" si="0">HYPERLINK("http://catalog.hathitrust.org/Record/001413769","HathiTrust Record")</f>
        <v>HathiTrust Record</v>
      </c>
      <c r="AS142" s="6" t="str">
        <f t="shared" ref="AS142:AS148" si="1">HYPERLINK("https://creighton-primo.hosted.exlibrisgroup.com/primo-explore/search?tab=default_tab&amp;search_scope=EVERYTHING&amp;vid=01CRU&amp;lang=en_US&amp;offset=0&amp;query=any,contains,991005372259702656","Catalog Record")</f>
        <v>Catalog Record</v>
      </c>
      <c r="AT142" s="6" t="str">
        <f t="shared" ref="AT142:AT148" si="2">HYPERLINK("http://www.worldcat.org/oclc/1494281","WorldCat Record")</f>
        <v>WorldCat Record</v>
      </c>
      <c r="AU142" s="3" t="s">
        <v>1907</v>
      </c>
      <c r="AV142" s="3" t="s">
        <v>1908</v>
      </c>
      <c r="AW142" s="3" t="s">
        <v>1909</v>
      </c>
      <c r="AX142" s="3" t="s">
        <v>1909</v>
      </c>
      <c r="AY142" s="3" t="s">
        <v>1910</v>
      </c>
      <c r="AZ142" s="3" t="s">
        <v>75</v>
      </c>
      <c r="BC142" s="3" t="s">
        <v>1911</v>
      </c>
      <c r="BD142" s="3" t="s">
        <v>1912</v>
      </c>
    </row>
    <row r="143" spans="1:56" ht="39" customHeight="1" x14ac:dyDescent="0.25">
      <c r="A143" s="7" t="s">
        <v>58</v>
      </c>
      <c r="B143" s="2" t="s">
        <v>1899</v>
      </c>
      <c r="C143" s="2" t="s">
        <v>1900</v>
      </c>
      <c r="D143" s="2" t="s">
        <v>1901</v>
      </c>
      <c r="E143" s="3" t="s">
        <v>1913</v>
      </c>
      <c r="F143" s="3" t="s">
        <v>132</v>
      </c>
      <c r="G143" s="3" t="s">
        <v>59</v>
      </c>
      <c r="H143" s="3" t="s">
        <v>58</v>
      </c>
      <c r="I143" s="3" t="s">
        <v>58</v>
      </c>
      <c r="J143" s="3" t="s">
        <v>60</v>
      </c>
      <c r="K143" s="2" t="s">
        <v>1903</v>
      </c>
      <c r="L143" s="2" t="s">
        <v>1904</v>
      </c>
      <c r="M143" s="3" t="s">
        <v>1905</v>
      </c>
      <c r="O143" s="3" t="s">
        <v>65</v>
      </c>
      <c r="P143" s="3" t="s">
        <v>186</v>
      </c>
      <c r="R143" s="3" t="s">
        <v>68</v>
      </c>
      <c r="S143" s="4">
        <v>1</v>
      </c>
      <c r="T143" s="4">
        <v>2</v>
      </c>
      <c r="V143" s="5" t="s">
        <v>1906</v>
      </c>
      <c r="W143" s="5" t="s">
        <v>1048</v>
      </c>
      <c r="X143" s="5" t="s">
        <v>1048</v>
      </c>
      <c r="Y143" s="4">
        <v>316</v>
      </c>
      <c r="Z143" s="4">
        <v>288</v>
      </c>
      <c r="AA143" s="4">
        <v>290</v>
      </c>
      <c r="AB143" s="4">
        <v>5</v>
      </c>
      <c r="AC143" s="4">
        <v>5</v>
      </c>
      <c r="AD143" s="4">
        <v>12</v>
      </c>
      <c r="AE143" s="4">
        <v>12</v>
      </c>
      <c r="AF143" s="4">
        <v>4</v>
      </c>
      <c r="AG143" s="4">
        <v>4</v>
      </c>
      <c r="AH143" s="4">
        <v>2</v>
      </c>
      <c r="AI143" s="4">
        <v>2</v>
      </c>
      <c r="AJ143" s="4">
        <v>3</v>
      </c>
      <c r="AK143" s="4">
        <v>3</v>
      </c>
      <c r="AL143" s="4">
        <v>4</v>
      </c>
      <c r="AM143" s="4">
        <v>4</v>
      </c>
      <c r="AN143" s="4">
        <v>0</v>
      </c>
      <c r="AO143" s="4">
        <v>0</v>
      </c>
      <c r="AP143" s="3" t="s">
        <v>58</v>
      </c>
      <c r="AQ143" s="3" t="s">
        <v>132</v>
      </c>
      <c r="AR143" s="6" t="str">
        <f t="shared" si="0"/>
        <v>HathiTrust Record</v>
      </c>
      <c r="AS143" s="6" t="str">
        <f t="shared" si="1"/>
        <v>Catalog Record</v>
      </c>
      <c r="AT143" s="6" t="str">
        <f t="shared" si="2"/>
        <v>WorldCat Record</v>
      </c>
      <c r="AU143" s="3" t="s">
        <v>1907</v>
      </c>
      <c r="AV143" s="3" t="s">
        <v>1908</v>
      </c>
      <c r="AW143" s="3" t="s">
        <v>1909</v>
      </c>
      <c r="AX143" s="3" t="s">
        <v>1909</v>
      </c>
      <c r="AY143" s="3" t="s">
        <v>1910</v>
      </c>
      <c r="AZ143" s="3" t="s">
        <v>75</v>
      </c>
      <c r="BC143" s="3" t="s">
        <v>1914</v>
      </c>
      <c r="BD143" s="3" t="s">
        <v>1915</v>
      </c>
    </row>
    <row r="144" spans="1:56" ht="39" customHeight="1" x14ac:dyDescent="0.25">
      <c r="A144" s="7" t="s">
        <v>58</v>
      </c>
      <c r="B144" s="2" t="s">
        <v>1899</v>
      </c>
      <c r="C144" s="2" t="s">
        <v>1900</v>
      </c>
      <c r="D144" s="2" t="s">
        <v>1901</v>
      </c>
      <c r="E144" s="3" t="s">
        <v>1916</v>
      </c>
      <c r="F144" s="3" t="s">
        <v>132</v>
      </c>
      <c r="G144" s="3" t="s">
        <v>59</v>
      </c>
      <c r="H144" s="3" t="s">
        <v>58</v>
      </c>
      <c r="I144" s="3" t="s">
        <v>58</v>
      </c>
      <c r="J144" s="3" t="s">
        <v>60</v>
      </c>
      <c r="K144" s="2" t="s">
        <v>1903</v>
      </c>
      <c r="L144" s="2" t="s">
        <v>1904</v>
      </c>
      <c r="M144" s="3" t="s">
        <v>1905</v>
      </c>
      <c r="O144" s="3" t="s">
        <v>65</v>
      </c>
      <c r="P144" s="3" t="s">
        <v>186</v>
      </c>
      <c r="R144" s="3" t="s">
        <v>68</v>
      </c>
      <c r="S144" s="4">
        <v>0</v>
      </c>
      <c r="T144" s="4">
        <v>2</v>
      </c>
      <c r="V144" s="5" t="s">
        <v>1906</v>
      </c>
      <c r="W144" s="5" t="s">
        <v>1048</v>
      </c>
      <c r="X144" s="5" t="s">
        <v>1048</v>
      </c>
      <c r="Y144" s="4">
        <v>316</v>
      </c>
      <c r="Z144" s="4">
        <v>288</v>
      </c>
      <c r="AA144" s="4">
        <v>290</v>
      </c>
      <c r="AB144" s="4">
        <v>5</v>
      </c>
      <c r="AC144" s="4">
        <v>5</v>
      </c>
      <c r="AD144" s="4">
        <v>12</v>
      </c>
      <c r="AE144" s="4">
        <v>12</v>
      </c>
      <c r="AF144" s="4">
        <v>4</v>
      </c>
      <c r="AG144" s="4">
        <v>4</v>
      </c>
      <c r="AH144" s="4">
        <v>2</v>
      </c>
      <c r="AI144" s="4">
        <v>2</v>
      </c>
      <c r="AJ144" s="4">
        <v>3</v>
      </c>
      <c r="AK144" s="4">
        <v>3</v>
      </c>
      <c r="AL144" s="4">
        <v>4</v>
      </c>
      <c r="AM144" s="4">
        <v>4</v>
      </c>
      <c r="AN144" s="4">
        <v>0</v>
      </c>
      <c r="AO144" s="4">
        <v>0</v>
      </c>
      <c r="AP144" s="3" t="s">
        <v>58</v>
      </c>
      <c r="AQ144" s="3" t="s">
        <v>132</v>
      </c>
      <c r="AR144" s="6" t="str">
        <f t="shared" si="0"/>
        <v>HathiTrust Record</v>
      </c>
      <c r="AS144" s="6" t="str">
        <f t="shared" si="1"/>
        <v>Catalog Record</v>
      </c>
      <c r="AT144" s="6" t="str">
        <f t="shared" si="2"/>
        <v>WorldCat Record</v>
      </c>
      <c r="AU144" s="3" t="s">
        <v>1907</v>
      </c>
      <c r="AV144" s="3" t="s">
        <v>1908</v>
      </c>
      <c r="AW144" s="3" t="s">
        <v>1909</v>
      </c>
      <c r="AX144" s="3" t="s">
        <v>1909</v>
      </c>
      <c r="AY144" s="3" t="s">
        <v>1910</v>
      </c>
      <c r="AZ144" s="3" t="s">
        <v>75</v>
      </c>
      <c r="BC144" s="3" t="s">
        <v>1917</v>
      </c>
      <c r="BD144" s="3" t="s">
        <v>1918</v>
      </c>
    </row>
    <row r="145" spans="1:56" ht="39" customHeight="1" x14ac:dyDescent="0.25">
      <c r="A145" s="7" t="s">
        <v>58</v>
      </c>
      <c r="B145" s="2" t="s">
        <v>1899</v>
      </c>
      <c r="C145" s="2" t="s">
        <v>1900</v>
      </c>
      <c r="D145" s="2" t="s">
        <v>1901</v>
      </c>
      <c r="E145" s="3" t="s">
        <v>1919</v>
      </c>
      <c r="F145" s="3" t="s">
        <v>132</v>
      </c>
      <c r="G145" s="3" t="s">
        <v>59</v>
      </c>
      <c r="H145" s="3" t="s">
        <v>58</v>
      </c>
      <c r="I145" s="3" t="s">
        <v>58</v>
      </c>
      <c r="J145" s="3" t="s">
        <v>60</v>
      </c>
      <c r="K145" s="2" t="s">
        <v>1903</v>
      </c>
      <c r="L145" s="2" t="s">
        <v>1904</v>
      </c>
      <c r="M145" s="3" t="s">
        <v>1905</v>
      </c>
      <c r="O145" s="3" t="s">
        <v>65</v>
      </c>
      <c r="P145" s="3" t="s">
        <v>186</v>
      </c>
      <c r="R145" s="3" t="s">
        <v>68</v>
      </c>
      <c r="S145" s="4">
        <v>0</v>
      </c>
      <c r="T145" s="4">
        <v>2</v>
      </c>
      <c r="V145" s="5" t="s">
        <v>1906</v>
      </c>
      <c r="W145" s="5" t="s">
        <v>1048</v>
      </c>
      <c r="X145" s="5" t="s">
        <v>1048</v>
      </c>
      <c r="Y145" s="4">
        <v>316</v>
      </c>
      <c r="Z145" s="4">
        <v>288</v>
      </c>
      <c r="AA145" s="4">
        <v>290</v>
      </c>
      <c r="AB145" s="4">
        <v>5</v>
      </c>
      <c r="AC145" s="4">
        <v>5</v>
      </c>
      <c r="AD145" s="4">
        <v>12</v>
      </c>
      <c r="AE145" s="4">
        <v>12</v>
      </c>
      <c r="AF145" s="4">
        <v>4</v>
      </c>
      <c r="AG145" s="4">
        <v>4</v>
      </c>
      <c r="AH145" s="4">
        <v>2</v>
      </c>
      <c r="AI145" s="4">
        <v>2</v>
      </c>
      <c r="AJ145" s="4">
        <v>3</v>
      </c>
      <c r="AK145" s="4">
        <v>3</v>
      </c>
      <c r="AL145" s="4">
        <v>4</v>
      </c>
      <c r="AM145" s="4">
        <v>4</v>
      </c>
      <c r="AN145" s="4">
        <v>0</v>
      </c>
      <c r="AO145" s="4">
        <v>0</v>
      </c>
      <c r="AP145" s="3" t="s">
        <v>58</v>
      </c>
      <c r="AQ145" s="3" t="s">
        <v>132</v>
      </c>
      <c r="AR145" s="6" t="str">
        <f t="shared" si="0"/>
        <v>HathiTrust Record</v>
      </c>
      <c r="AS145" s="6" t="str">
        <f t="shared" si="1"/>
        <v>Catalog Record</v>
      </c>
      <c r="AT145" s="6" t="str">
        <f t="shared" si="2"/>
        <v>WorldCat Record</v>
      </c>
      <c r="AU145" s="3" t="s">
        <v>1907</v>
      </c>
      <c r="AV145" s="3" t="s">
        <v>1908</v>
      </c>
      <c r="AW145" s="3" t="s">
        <v>1909</v>
      </c>
      <c r="AX145" s="3" t="s">
        <v>1909</v>
      </c>
      <c r="AY145" s="3" t="s">
        <v>1910</v>
      </c>
      <c r="AZ145" s="3" t="s">
        <v>75</v>
      </c>
      <c r="BC145" s="3" t="s">
        <v>1920</v>
      </c>
      <c r="BD145" s="3" t="s">
        <v>1921</v>
      </c>
    </row>
    <row r="146" spans="1:56" ht="39" customHeight="1" x14ac:dyDescent="0.25">
      <c r="A146" s="7" t="s">
        <v>58</v>
      </c>
      <c r="B146" s="2" t="s">
        <v>1899</v>
      </c>
      <c r="C146" s="2" t="s">
        <v>1900</v>
      </c>
      <c r="D146" s="2" t="s">
        <v>1901</v>
      </c>
      <c r="E146" s="3" t="s">
        <v>1922</v>
      </c>
      <c r="F146" s="3" t="s">
        <v>132</v>
      </c>
      <c r="G146" s="3" t="s">
        <v>59</v>
      </c>
      <c r="H146" s="3" t="s">
        <v>58</v>
      </c>
      <c r="I146" s="3" t="s">
        <v>58</v>
      </c>
      <c r="J146" s="3" t="s">
        <v>60</v>
      </c>
      <c r="K146" s="2" t="s">
        <v>1903</v>
      </c>
      <c r="L146" s="2" t="s">
        <v>1904</v>
      </c>
      <c r="M146" s="3" t="s">
        <v>1905</v>
      </c>
      <c r="O146" s="3" t="s">
        <v>65</v>
      </c>
      <c r="P146" s="3" t="s">
        <v>186</v>
      </c>
      <c r="R146" s="3" t="s">
        <v>68</v>
      </c>
      <c r="S146" s="4">
        <v>0</v>
      </c>
      <c r="T146" s="4">
        <v>2</v>
      </c>
      <c r="V146" s="5" t="s">
        <v>1906</v>
      </c>
      <c r="W146" s="5" t="s">
        <v>1048</v>
      </c>
      <c r="X146" s="5" t="s">
        <v>1048</v>
      </c>
      <c r="Y146" s="4">
        <v>316</v>
      </c>
      <c r="Z146" s="4">
        <v>288</v>
      </c>
      <c r="AA146" s="4">
        <v>290</v>
      </c>
      <c r="AB146" s="4">
        <v>5</v>
      </c>
      <c r="AC146" s="4">
        <v>5</v>
      </c>
      <c r="AD146" s="4">
        <v>12</v>
      </c>
      <c r="AE146" s="4">
        <v>12</v>
      </c>
      <c r="AF146" s="4">
        <v>4</v>
      </c>
      <c r="AG146" s="4">
        <v>4</v>
      </c>
      <c r="AH146" s="4">
        <v>2</v>
      </c>
      <c r="AI146" s="4">
        <v>2</v>
      </c>
      <c r="AJ146" s="4">
        <v>3</v>
      </c>
      <c r="AK146" s="4">
        <v>3</v>
      </c>
      <c r="AL146" s="4">
        <v>4</v>
      </c>
      <c r="AM146" s="4">
        <v>4</v>
      </c>
      <c r="AN146" s="4">
        <v>0</v>
      </c>
      <c r="AO146" s="4">
        <v>0</v>
      </c>
      <c r="AP146" s="3" t="s">
        <v>58</v>
      </c>
      <c r="AQ146" s="3" t="s">
        <v>132</v>
      </c>
      <c r="AR146" s="6" t="str">
        <f t="shared" si="0"/>
        <v>HathiTrust Record</v>
      </c>
      <c r="AS146" s="6" t="str">
        <f t="shared" si="1"/>
        <v>Catalog Record</v>
      </c>
      <c r="AT146" s="6" t="str">
        <f t="shared" si="2"/>
        <v>WorldCat Record</v>
      </c>
      <c r="AU146" s="3" t="s">
        <v>1907</v>
      </c>
      <c r="AV146" s="3" t="s">
        <v>1908</v>
      </c>
      <c r="AW146" s="3" t="s">
        <v>1909</v>
      </c>
      <c r="AX146" s="3" t="s">
        <v>1909</v>
      </c>
      <c r="AY146" s="3" t="s">
        <v>1910</v>
      </c>
      <c r="AZ146" s="3" t="s">
        <v>75</v>
      </c>
      <c r="BC146" s="3" t="s">
        <v>1923</v>
      </c>
      <c r="BD146" s="3" t="s">
        <v>1924</v>
      </c>
    </row>
    <row r="147" spans="1:56" ht="39" customHeight="1" x14ac:dyDescent="0.25">
      <c r="A147" s="7" t="s">
        <v>58</v>
      </c>
      <c r="B147" s="2" t="s">
        <v>1899</v>
      </c>
      <c r="C147" s="2" t="s">
        <v>1900</v>
      </c>
      <c r="D147" s="2" t="s">
        <v>1901</v>
      </c>
      <c r="E147" s="3" t="s">
        <v>1925</v>
      </c>
      <c r="F147" s="3" t="s">
        <v>132</v>
      </c>
      <c r="G147" s="3" t="s">
        <v>59</v>
      </c>
      <c r="H147" s="3" t="s">
        <v>58</v>
      </c>
      <c r="I147" s="3" t="s">
        <v>58</v>
      </c>
      <c r="J147" s="3" t="s">
        <v>60</v>
      </c>
      <c r="K147" s="2" t="s">
        <v>1903</v>
      </c>
      <c r="L147" s="2" t="s">
        <v>1904</v>
      </c>
      <c r="M147" s="3" t="s">
        <v>1905</v>
      </c>
      <c r="O147" s="3" t="s">
        <v>65</v>
      </c>
      <c r="P147" s="3" t="s">
        <v>186</v>
      </c>
      <c r="R147" s="3" t="s">
        <v>68</v>
      </c>
      <c r="S147" s="4">
        <v>1</v>
      </c>
      <c r="T147" s="4">
        <v>2</v>
      </c>
      <c r="U147" s="5" t="s">
        <v>1906</v>
      </c>
      <c r="V147" s="5" t="s">
        <v>1906</v>
      </c>
      <c r="W147" s="5" t="s">
        <v>1048</v>
      </c>
      <c r="X147" s="5" t="s">
        <v>1048</v>
      </c>
      <c r="Y147" s="4">
        <v>316</v>
      </c>
      <c r="Z147" s="4">
        <v>288</v>
      </c>
      <c r="AA147" s="4">
        <v>290</v>
      </c>
      <c r="AB147" s="4">
        <v>5</v>
      </c>
      <c r="AC147" s="4">
        <v>5</v>
      </c>
      <c r="AD147" s="4">
        <v>12</v>
      </c>
      <c r="AE147" s="4">
        <v>12</v>
      </c>
      <c r="AF147" s="4">
        <v>4</v>
      </c>
      <c r="AG147" s="4">
        <v>4</v>
      </c>
      <c r="AH147" s="4">
        <v>2</v>
      </c>
      <c r="AI147" s="4">
        <v>2</v>
      </c>
      <c r="AJ147" s="4">
        <v>3</v>
      </c>
      <c r="AK147" s="4">
        <v>3</v>
      </c>
      <c r="AL147" s="4">
        <v>4</v>
      </c>
      <c r="AM147" s="4">
        <v>4</v>
      </c>
      <c r="AN147" s="4">
        <v>0</v>
      </c>
      <c r="AO147" s="4">
        <v>0</v>
      </c>
      <c r="AP147" s="3" t="s">
        <v>58</v>
      </c>
      <c r="AQ147" s="3" t="s">
        <v>132</v>
      </c>
      <c r="AR147" s="6" t="str">
        <f t="shared" si="0"/>
        <v>HathiTrust Record</v>
      </c>
      <c r="AS147" s="6" t="str">
        <f t="shared" si="1"/>
        <v>Catalog Record</v>
      </c>
      <c r="AT147" s="6" t="str">
        <f t="shared" si="2"/>
        <v>WorldCat Record</v>
      </c>
      <c r="AU147" s="3" t="s">
        <v>1907</v>
      </c>
      <c r="AV147" s="3" t="s">
        <v>1908</v>
      </c>
      <c r="AW147" s="3" t="s">
        <v>1909</v>
      </c>
      <c r="AX147" s="3" t="s">
        <v>1909</v>
      </c>
      <c r="AY147" s="3" t="s">
        <v>1910</v>
      </c>
      <c r="AZ147" s="3" t="s">
        <v>75</v>
      </c>
      <c r="BC147" s="3" t="s">
        <v>1926</v>
      </c>
      <c r="BD147" s="3" t="s">
        <v>1927</v>
      </c>
    </row>
    <row r="148" spans="1:56" ht="39" customHeight="1" x14ac:dyDescent="0.25">
      <c r="A148" s="7" t="s">
        <v>58</v>
      </c>
      <c r="B148" s="2" t="s">
        <v>1899</v>
      </c>
      <c r="C148" s="2" t="s">
        <v>1900</v>
      </c>
      <c r="D148" s="2" t="s">
        <v>1901</v>
      </c>
      <c r="E148" s="3" t="s">
        <v>1928</v>
      </c>
      <c r="F148" s="3" t="s">
        <v>132</v>
      </c>
      <c r="G148" s="3" t="s">
        <v>59</v>
      </c>
      <c r="H148" s="3" t="s">
        <v>58</v>
      </c>
      <c r="I148" s="3" t="s">
        <v>58</v>
      </c>
      <c r="J148" s="3" t="s">
        <v>60</v>
      </c>
      <c r="K148" s="2" t="s">
        <v>1903</v>
      </c>
      <c r="L148" s="2" t="s">
        <v>1904</v>
      </c>
      <c r="M148" s="3" t="s">
        <v>1905</v>
      </c>
      <c r="O148" s="3" t="s">
        <v>65</v>
      </c>
      <c r="P148" s="3" t="s">
        <v>186</v>
      </c>
      <c r="R148" s="3" t="s">
        <v>68</v>
      </c>
      <c r="S148" s="4">
        <v>0</v>
      </c>
      <c r="T148" s="4">
        <v>2</v>
      </c>
      <c r="V148" s="5" t="s">
        <v>1906</v>
      </c>
      <c r="W148" s="5" t="s">
        <v>1048</v>
      </c>
      <c r="X148" s="5" t="s">
        <v>1048</v>
      </c>
      <c r="Y148" s="4">
        <v>316</v>
      </c>
      <c r="Z148" s="4">
        <v>288</v>
      </c>
      <c r="AA148" s="4">
        <v>290</v>
      </c>
      <c r="AB148" s="4">
        <v>5</v>
      </c>
      <c r="AC148" s="4">
        <v>5</v>
      </c>
      <c r="AD148" s="4">
        <v>12</v>
      </c>
      <c r="AE148" s="4">
        <v>12</v>
      </c>
      <c r="AF148" s="4">
        <v>4</v>
      </c>
      <c r="AG148" s="4">
        <v>4</v>
      </c>
      <c r="AH148" s="4">
        <v>2</v>
      </c>
      <c r="AI148" s="4">
        <v>2</v>
      </c>
      <c r="AJ148" s="4">
        <v>3</v>
      </c>
      <c r="AK148" s="4">
        <v>3</v>
      </c>
      <c r="AL148" s="4">
        <v>4</v>
      </c>
      <c r="AM148" s="4">
        <v>4</v>
      </c>
      <c r="AN148" s="4">
        <v>0</v>
      </c>
      <c r="AO148" s="4">
        <v>0</v>
      </c>
      <c r="AP148" s="3" t="s">
        <v>58</v>
      </c>
      <c r="AQ148" s="3" t="s">
        <v>132</v>
      </c>
      <c r="AR148" s="6" t="str">
        <f t="shared" si="0"/>
        <v>HathiTrust Record</v>
      </c>
      <c r="AS148" s="6" t="str">
        <f t="shared" si="1"/>
        <v>Catalog Record</v>
      </c>
      <c r="AT148" s="6" t="str">
        <f t="shared" si="2"/>
        <v>WorldCat Record</v>
      </c>
      <c r="AU148" s="3" t="s">
        <v>1907</v>
      </c>
      <c r="AV148" s="3" t="s">
        <v>1908</v>
      </c>
      <c r="AW148" s="3" t="s">
        <v>1909</v>
      </c>
      <c r="AX148" s="3" t="s">
        <v>1909</v>
      </c>
      <c r="AY148" s="3" t="s">
        <v>1910</v>
      </c>
      <c r="AZ148" s="3" t="s">
        <v>75</v>
      </c>
      <c r="BC148" s="3" t="s">
        <v>1929</v>
      </c>
      <c r="BD148" s="3" t="s">
        <v>1930</v>
      </c>
    </row>
    <row r="149" spans="1:56" ht="39" customHeight="1" x14ac:dyDescent="0.25">
      <c r="A149" s="7" t="s">
        <v>58</v>
      </c>
      <c r="B149" s="2" t="s">
        <v>1931</v>
      </c>
      <c r="C149" s="2" t="s">
        <v>1932</v>
      </c>
      <c r="D149" s="2" t="s">
        <v>1933</v>
      </c>
      <c r="F149" s="3" t="s">
        <v>58</v>
      </c>
      <c r="G149" s="3" t="s">
        <v>59</v>
      </c>
      <c r="H149" s="3" t="s">
        <v>58</v>
      </c>
      <c r="I149" s="3" t="s">
        <v>58</v>
      </c>
      <c r="J149" s="3" t="s">
        <v>60</v>
      </c>
      <c r="K149" s="2" t="s">
        <v>1934</v>
      </c>
      <c r="L149" s="2" t="s">
        <v>1935</v>
      </c>
      <c r="M149" s="3" t="s">
        <v>1936</v>
      </c>
      <c r="O149" s="3" t="s">
        <v>65</v>
      </c>
      <c r="P149" s="3" t="s">
        <v>186</v>
      </c>
      <c r="R149" s="3" t="s">
        <v>68</v>
      </c>
      <c r="S149" s="4">
        <v>2</v>
      </c>
      <c r="T149" s="4">
        <v>2</v>
      </c>
      <c r="U149" s="5" t="s">
        <v>1937</v>
      </c>
      <c r="V149" s="5" t="s">
        <v>1937</v>
      </c>
      <c r="W149" s="5" t="s">
        <v>1048</v>
      </c>
      <c r="X149" s="5" t="s">
        <v>1048</v>
      </c>
      <c r="Y149" s="4">
        <v>207</v>
      </c>
      <c r="Z149" s="4">
        <v>183</v>
      </c>
      <c r="AA149" s="4">
        <v>270</v>
      </c>
      <c r="AB149" s="4">
        <v>3</v>
      </c>
      <c r="AC149" s="4">
        <v>4</v>
      </c>
      <c r="AD149" s="4">
        <v>6</v>
      </c>
      <c r="AE149" s="4">
        <v>9</v>
      </c>
      <c r="AF149" s="4">
        <v>3</v>
      </c>
      <c r="AG149" s="4">
        <v>4</v>
      </c>
      <c r="AH149" s="4">
        <v>0</v>
      </c>
      <c r="AI149" s="4">
        <v>0</v>
      </c>
      <c r="AJ149" s="4">
        <v>1</v>
      </c>
      <c r="AK149" s="4">
        <v>2</v>
      </c>
      <c r="AL149" s="4">
        <v>2</v>
      </c>
      <c r="AM149" s="4">
        <v>3</v>
      </c>
      <c r="AN149" s="4">
        <v>0</v>
      </c>
      <c r="AO149" s="4">
        <v>0</v>
      </c>
      <c r="AP149" s="3" t="s">
        <v>58</v>
      </c>
      <c r="AQ149" s="3" t="s">
        <v>58</v>
      </c>
      <c r="AS149" s="6" t="str">
        <f>HYPERLINK("https://creighton-primo.hosted.exlibrisgroup.com/primo-explore/search?tab=default_tab&amp;search_scope=EVERYTHING&amp;vid=01CRU&amp;lang=en_US&amp;offset=0&amp;query=any,contains,991004261299702656","Catalog Record")</f>
        <v>Catalog Record</v>
      </c>
      <c r="AT149" s="6" t="str">
        <f>HYPERLINK("http://www.worldcat.org/oclc/2845374","WorldCat Record")</f>
        <v>WorldCat Record</v>
      </c>
      <c r="AU149" s="3" t="s">
        <v>1938</v>
      </c>
      <c r="AV149" s="3" t="s">
        <v>1939</v>
      </c>
      <c r="AW149" s="3" t="s">
        <v>1940</v>
      </c>
      <c r="AX149" s="3" t="s">
        <v>1940</v>
      </c>
      <c r="AY149" s="3" t="s">
        <v>1941</v>
      </c>
      <c r="AZ149" s="3" t="s">
        <v>75</v>
      </c>
      <c r="BC149" s="3" t="s">
        <v>1942</v>
      </c>
      <c r="BD149" s="3" t="s">
        <v>1943</v>
      </c>
    </row>
    <row r="150" spans="1:56" ht="39" customHeight="1" x14ac:dyDescent="0.25">
      <c r="A150" s="7" t="s">
        <v>58</v>
      </c>
      <c r="B150" s="2" t="s">
        <v>1944</v>
      </c>
      <c r="C150" s="2" t="s">
        <v>1945</v>
      </c>
      <c r="D150" s="2" t="s">
        <v>1946</v>
      </c>
      <c r="F150" s="3" t="s">
        <v>58</v>
      </c>
      <c r="G150" s="3" t="s">
        <v>59</v>
      </c>
      <c r="H150" s="3" t="s">
        <v>58</v>
      </c>
      <c r="I150" s="3" t="s">
        <v>58</v>
      </c>
      <c r="J150" s="3" t="s">
        <v>60</v>
      </c>
      <c r="K150" s="2" t="s">
        <v>1947</v>
      </c>
      <c r="L150" s="2" t="s">
        <v>1948</v>
      </c>
      <c r="M150" s="3" t="s">
        <v>871</v>
      </c>
      <c r="O150" s="3" t="s">
        <v>65</v>
      </c>
      <c r="P150" s="3" t="s">
        <v>1358</v>
      </c>
      <c r="R150" s="3" t="s">
        <v>68</v>
      </c>
      <c r="S150" s="4">
        <v>3</v>
      </c>
      <c r="T150" s="4">
        <v>3</v>
      </c>
      <c r="U150" s="5" t="s">
        <v>1949</v>
      </c>
      <c r="V150" s="5" t="s">
        <v>1949</v>
      </c>
      <c r="W150" s="5" t="s">
        <v>1048</v>
      </c>
      <c r="X150" s="5" t="s">
        <v>1048</v>
      </c>
      <c r="Y150" s="4">
        <v>120</v>
      </c>
      <c r="Z150" s="4">
        <v>107</v>
      </c>
      <c r="AA150" s="4">
        <v>112</v>
      </c>
      <c r="AB150" s="4">
        <v>1</v>
      </c>
      <c r="AC150" s="4">
        <v>1</v>
      </c>
      <c r="AD150" s="4">
        <v>20</v>
      </c>
      <c r="AE150" s="4">
        <v>20</v>
      </c>
      <c r="AF150" s="4">
        <v>8</v>
      </c>
      <c r="AG150" s="4">
        <v>8</v>
      </c>
      <c r="AH150" s="4">
        <v>6</v>
      </c>
      <c r="AI150" s="4">
        <v>6</v>
      </c>
      <c r="AJ150" s="4">
        <v>15</v>
      </c>
      <c r="AK150" s="4">
        <v>15</v>
      </c>
      <c r="AL150" s="4">
        <v>0</v>
      </c>
      <c r="AM150" s="4">
        <v>0</v>
      </c>
      <c r="AN150" s="4">
        <v>0</v>
      </c>
      <c r="AO150" s="4">
        <v>0</v>
      </c>
      <c r="AP150" s="3" t="s">
        <v>58</v>
      </c>
      <c r="AQ150" s="3" t="s">
        <v>58</v>
      </c>
      <c r="AS150" s="6" t="str">
        <f>HYPERLINK("https://creighton-primo.hosted.exlibrisgroup.com/primo-explore/search?tab=default_tab&amp;search_scope=EVERYTHING&amp;vid=01CRU&amp;lang=en_US&amp;offset=0&amp;query=any,contains,991004221009702656","Catalog Record")</f>
        <v>Catalog Record</v>
      </c>
      <c r="AT150" s="6" t="str">
        <f>HYPERLINK("http://www.worldcat.org/oclc/2712571","WorldCat Record")</f>
        <v>WorldCat Record</v>
      </c>
      <c r="AU150" s="3" t="s">
        <v>1950</v>
      </c>
      <c r="AV150" s="3" t="s">
        <v>1951</v>
      </c>
      <c r="AW150" s="3" t="s">
        <v>1952</v>
      </c>
      <c r="AX150" s="3" t="s">
        <v>1952</v>
      </c>
      <c r="AY150" s="3" t="s">
        <v>1953</v>
      </c>
      <c r="AZ150" s="3" t="s">
        <v>75</v>
      </c>
      <c r="BC150" s="3" t="s">
        <v>1954</v>
      </c>
      <c r="BD150" s="3" t="s">
        <v>1955</v>
      </c>
    </row>
    <row r="151" spans="1:56" ht="39" customHeight="1" x14ac:dyDescent="0.25">
      <c r="A151" s="7" t="s">
        <v>58</v>
      </c>
      <c r="B151" s="2" t="s">
        <v>1956</v>
      </c>
      <c r="C151" s="2" t="s">
        <v>1957</v>
      </c>
      <c r="D151" s="2" t="s">
        <v>1958</v>
      </c>
      <c r="F151" s="3" t="s">
        <v>58</v>
      </c>
      <c r="G151" s="3" t="s">
        <v>59</v>
      </c>
      <c r="H151" s="3" t="s">
        <v>58</v>
      </c>
      <c r="I151" s="3" t="s">
        <v>58</v>
      </c>
      <c r="J151" s="3" t="s">
        <v>60</v>
      </c>
      <c r="K151" s="2" t="s">
        <v>1959</v>
      </c>
      <c r="L151" s="2" t="s">
        <v>1960</v>
      </c>
      <c r="M151" s="3" t="s">
        <v>303</v>
      </c>
      <c r="O151" s="3" t="s">
        <v>65</v>
      </c>
      <c r="P151" s="3" t="s">
        <v>1961</v>
      </c>
      <c r="Q151" s="2" t="s">
        <v>1962</v>
      </c>
      <c r="R151" s="3" t="s">
        <v>68</v>
      </c>
      <c r="S151" s="4">
        <v>2</v>
      </c>
      <c r="T151" s="4">
        <v>2</v>
      </c>
      <c r="U151" s="5" t="s">
        <v>1963</v>
      </c>
      <c r="V151" s="5" t="s">
        <v>1963</v>
      </c>
      <c r="W151" s="5" t="s">
        <v>1964</v>
      </c>
      <c r="X151" s="5" t="s">
        <v>1964</v>
      </c>
      <c r="Y151" s="4">
        <v>27</v>
      </c>
      <c r="Z151" s="4">
        <v>20</v>
      </c>
      <c r="AA151" s="4">
        <v>155</v>
      </c>
      <c r="AB151" s="4">
        <v>1</v>
      </c>
      <c r="AC151" s="4">
        <v>2</v>
      </c>
      <c r="AD151" s="4">
        <v>0</v>
      </c>
      <c r="AE151" s="4">
        <v>18</v>
      </c>
      <c r="AF151" s="4">
        <v>0</v>
      </c>
      <c r="AG151" s="4">
        <v>5</v>
      </c>
      <c r="AH151" s="4">
        <v>0</v>
      </c>
      <c r="AI151" s="4">
        <v>5</v>
      </c>
      <c r="AJ151" s="4">
        <v>0</v>
      </c>
      <c r="AK151" s="4">
        <v>12</v>
      </c>
      <c r="AL151" s="4">
        <v>0</v>
      </c>
      <c r="AM151" s="4">
        <v>1</v>
      </c>
      <c r="AN151" s="4">
        <v>0</v>
      </c>
      <c r="AO151" s="4">
        <v>0</v>
      </c>
      <c r="AP151" s="3" t="s">
        <v>58</v>
      </c>
      <c r="AQ151" s="3" t="s">
        <v>58</v>
      </c>
      <c r="AS151" s="6" t="str">
        <f>HYPERLINK("https://creighton-primo.hosted.exlibrisgroup.com/primo-explore/search?tab=default_tab&amp;search_scope=EVERYTHING&amp;vid=01CRU&amp;lang=en_US&amp;offset=0&amp;query=any,contains,991004558309702656","Catalog Record")</f>
        <v>Catalog Record</v>
      </c>
      <c r="AT151" s="6" t="str">
        <f>HYPERLINK("http://www.worldcat.org/oclc/3980543","WorldCat Record")</f>
        <v>WorldCat Record</v>
      </c>
      <c r="AU151" s="3" t="s">
        <v>1965</v>
      </c>
      <c r="AV151" s="3" t="s">
        <v>1966</v>
      </c>
      <c r="AW151" s="3" t="s">
        <v>1967</v>
      </c>
      <c r="AX151" s="3" t="s">
        <v>1967</v>
      </c>
      <c r="AY151" s="3" t="s">
        <v>1968</v>
      </c>
      <c r="AZ151" s="3" t="s">
        <v>75</v>
      </c>
      <c r="BC151" s="3" t="s">
        <v>1969</v>
      </c>
      <c r="BD151" s="3" t="s">
        <v>1970</v>
      </c>
    </row>
    <row r="152" spans="1:56" ht="39" customHeight="1" x14ac:dyDescent="0.25">
      <c r="A152" s="7" t="s">
        <v>58</v>
      </c>
      <c r="B152" s="2" t="s">
        <v>1971</v>
      </c>
      <c r="C152" s="2" t="s">
        <v>1972</v>
      </c>
      <c r="D152" s="2" t="s">
        <v>1973</v>
      </c>
      <c r="F152" s="3" t="s">
        <v>58</v>
      </c>
      <c r="G152" s="3" t="s">
        <v>59</v>
      </c>
      <c r="H152" s="3" t="s">
        <v>58</v>
      </c>
      <c r="I152" s="3" t="s">
        <v>58</v>
      </c>
      <c r="J152" s="3" t="s">
        <v>60</v>
      </c>
      <c r="K152" s="2" t="s">
        <v>1974</v>
      </c>
      <c r="L152" s="2" t="s">
        <v>1975</v>
      </c>
      <c r="M152" s="3" t="s">
        <v>781</v>
      </c>
      <c r="N152" s="2" t="s">
        <v>1976</v>
      </c>
      <c r="O152" s="3" t="s">
        <v>65</v>
      </c>
      <c r="P152" s="3" t="s">
        <v>158</v>
      </c>
      <c r="R152" s="3" t="s">
        <v>68</v>
      </c>
      <c r="S152" s="4">
        <v>2</v>
      </c>
      <c r="T152" s="4">
        <v>2</v>
      </c>
      <c r="U152" s="5" t="s">
        <v>1193</v>
      </c>
      <c r="V152" s="5" t="s">
        <v>1193</v>
      </c>
      <c r="W152" s="5" t="s">
        <v>1048</v>
      </c>
      <c r="X152" s="5" t="s">
        <v>1048</v>
      </c>
      <c r="Y152" s="4">
        <v>135</v>
      </c>
      <c r="Z152" s="4">
        <v>107</v>
      </c>
      <c r="AA152" s="4">
        <v>187</v>
      </c>
      <c r="AB152" s="4">
        <v>3</v>
      </c>
      <c r="AC152" s="4">
        <v>3</v>
      </c>
      <c r="AD152" s="4">
        <v>4</v>
      </c>
      <c r="AE152" s="4">
        <v>7</v>
      </c>
      <c r="AF152" s="4">
        <v>1</v>
      </c>
      <c r="AG152" s="4">
        <v>1</v>
      </c>
      <c r="AH152" s="4">
        <v>0</v>
      </c>
      <c r="AI152" s="4">
        <v>1</v>
      </c>
      <c r="AJ152" s="4">
        <v>2</v>
      </c>
      <c r="AK152" s="4">
        <v>5</v>
      </c>
      <c r="AL152" s="4">
        <v>1</v>
      </c>
      <c r="AM152" s="4">
        <v>1</v>
      </c>
      <c r="AN152" s="4">
        <v>0</v>
      </c>
      <c r="AO152" s="4">
        <v>0</v>
      </c>
      <c r="AP152" s="3" t="s">
        <v>58</v>
      </c>
      <c r="AQ152" s="3" t="s">
        <v>58</v>
      </c>
      <c r="AS152" s="6" t="str">
        <f>HYPERLINK("https://creighton-primo.hosted.exlibrisgroup.com/primo-explore/search?tab=default_tab&amp;search_scope=EVERYTHING&amp;vid=01CRU&amp;lang=en_US&amp;offset=0&amp;query=any,contains,991000567219702656","Catalog Record")</f>
        <v>Catalog Record</v>
      </c>
      <c r="AT152" s="6" t="str">
        <f>HYPERLINK("http://www.worldcat.org/oclc/11622941","WorldCat Record")</f>
        <v>WorldCat Record</v>
      </c>
      <c r="AU152" s="3" t="s">
        <v>1977</v>
      </c>
      <c r="AV152" s="3" t="s">
        <v>1978</v>
      </c>
      <c r="AW152" s="3" t="s">
        <v>1979</v>
      </c>
      <c r="AX152" s="3" t="s">
        <v>1979</v>
      </c>
      <c r="AY152" s="3" t="s">
        <v>1980</v>
      </c>
      <c r="AZ152" s="3" t="s">
        <v>75</v>
      </c>
      <c r="BB152" s="3" t="s">
        <v>1981</v>
      </c>
      <c r="BC152" s="3" t="s">
        <v>1982</v>
      </c>
      <c r="BD152" s="3" t="s">
        <v>1983</v>
      </c>
    </row>
    <row r="153" spans="1:56" ht="39" customHeight="1" x14ac:dyDescent="0.25">
      <c r="A153" s="7" t="s">
        <v>58</v>
      </c>
      <c r="B153" s="2" t="s">
        <v>1984</v>
      </c>
      <c r="C153" s="2" t="s">
        <v>1985</v>
      </c>
      <c r="D153" s="2" t="s">
        <v>1986</v>
      </c>
      <c r="F153" s="3" t="s">
        <v>58</v>
      </c>
      <c r="G153" s="3" t="s">
        <v>59</v>
      </c>
      <c r="H153" s="3" t="s">
        <v>58</v>
      </c>
      <c r="I153" s="3" t="s">
        <v>58</v>
      </c>
      <c r="J153" s="3" t="s">
        <v>60</v>
      </c>
      <c r="K153" s="2" t="s">
        <v>1987</v>
      </c>
      <c r="L153" s="2" t="s">
        <v>1988</v>
      </c>
      <c r="M153" s="3" t="s">
        <v>439</v>
      </c>
      <c r="O153" s="3" t="s">
        <v>65</v>
      </c>
      <c r="P153" s="3" t="s">
        <v>1358</v>
      </c>
      <c r="R153" s="3" t="s">
        <v>68</v>
      </c>
      <c r="S153" s="4">
        <v>4</v>
      </c>
      <c r="T153" s="4">
        <v>4</v>
      </c>
      <c r="U153" s="5" t="s">
        <v>1949</v>
      </c>
      <c r="V153" s="5" t="s">
        <v>1949</v>
      </c>
      <c r="W153" s="5" t="s">
        <v>1048</v>
      </c>
      <c r="X153" s="5" t="s">
        <v>1048</v>
      </c>
      <c r="Y153" s="4">
        <v>163</v>
      </c>
      <c r="Z153" s="4">
        <v>137</v>
      </c>
      <c r="AA153" s="4">
        <v>137</v>
      </c>
      <c r="AB153" s="4">
        <v>2</v>
      </c>
      <c r="AC153" s="4">
        <v>2</v>
      </c>
      <c r="AD153" s="4">
        <v>11</v>
      </c>
      <c r="AE153" s="4">
        <v>11</v>
      </c>
      <c r="AF153" s="4">
        <v>0</v>
      </c>
      <c r="AG153" s="4">
        <v>0</v>
      </c>
      <c r="AH153" s="4">
        <v>3</v>
      </c>
      <c r="AI153" s="4">
        <v>3</v>
      </c>
      <c r="AJ153" s="4">
        <v>9</v>
      </c>
      <c r="AK153" s="4">
        <v>9</v>
      </c>
      <c r="AL153" s="4">
        <v>1</v>
      </c>
      <c r="AM153" s="4">
        <v>1</v>
      </c>
      <c r="AN153" s="4">
        <v>0</v>
      </c>
      <c r="AO153" s="4">
        <v>0</v>
      </c>
      <c r="AP153" s="3" t="s">
        <v>58</v>
      </c>
      <c r="AQ153" s="3" t="s">
        <v>58</v>
      </c>
      <c r="AS153" s="6" t="str">
        <f>HYPERLINK("https://creighton-primo.hosted.exlibrisgroup.com/primo-explore/search?tab=default_tab&amp;search_scope=EVERYTHING&amp;vid=01CRU&amp;lang=en_US&amp;offset=0&amp;query=any,contains,991005017629702656","Catalog Record")</f>
        <v>Catalog Record</v>
      </c>
      <c r="AT153" s="6" t="str">
        <f>HYPERLINK("http://www.worldcat.org/oclc/6627885","WorldCat Record")</f>
        <v>WorldCat Record</v>
      </c>
      <c r="AU153" s="3" t="s">
        <v>1989</v>
      </c>
      <c r="AV153" s="3" t="s">
        <v>1990</v>
      </c>
      <c r="AW153" s="3" t="s">
        <v>1991</v>
      </c>
      <c r="AX153" s="3" t="s">
        <v>1991</v>
      </c>
      <c r="AY153" s="3" t="s">
        <v>1992</v>
      </c>
      <c r="AZ153" s="3" t="s">
        <v>75</v>
      </c>
      <c r="BB153" s="3" t="s">
        <v>1993</v>
      </c>
      <c r="BC153" s="3" t="s">
        <v>1994</v>
      </c>
      <c r="BD153" s="3" t="s">
        <v>1995</v>
      </c>
    </row>
    <row r="154" spans="1:56" ht="39" customHeight="1" x14ac:dyDescent="0.25">
      <c r="A154" s="7" t="s">
        <v>58</v>
      </c>
      <c r="B154" s="2" t="s">
        <v>1996</v>
      </c>
      <c r="C154" s="2" t="s">
        <v>1997</v>
      </c>
      <c r="D154" s="2" t="s">
        <v>1998</v>
      </c>
      <c r="F154" s="3" t="s">
        <v>58</v>
      </c>
      <c r="G154" s="3" t="s">
        <v>59</v>
      </c>
      <c r="H154" s="3" t="s">
        <v>58</v>
      </c>
      <c r="I154" s="3" t="s">
        <v>58</v>
      </c>
      <c r="J154" s="3" t="s">
        <v>60</v>
      </c>
      <c r="K154" s="2" t="s">
        <v>1999</v>
      </c>
      <c r="L154" s="2" t="s">
        <v>2000</v>
      </c>
      <c r="M154" s="3" t="s">
        <v>781</v>
      </c>
      <c r="O154" s="3" t="s">
        <v>65</v>
      </c>
      <c r="P154" s="3" t="s">
        <v>158</v>
      </c>
      <c r="R154" s="3" t="s">
        <v>68</v>
      </c>
      <c r="S154" s="4">
        <v>1</v>
      </c>
      <c r="T154" s="4">
        <v>1</v>
      </c>
      <c r="U154" s="5" t="s">
        <v>2001</v>
      </c>
      <c r="V154" s="5" t="s">
        <v>2001</v>
      </c>
      <c r="W154" s="5" t="s">
        <v>1048</v>
      </c>
      <c r="X154" s="5" t="s">
        <v>1048</v>
      </c>
      <c r="Y154" s="4">
        <v>387</v>
      </c>
      <c r="Z154" s="4">
        <v>322</v>
      </c>
      <c r="AA154" s="4">
        <v>325</v>
      </c>
      <c r="AB154" s="4">
        <v>5</v>
      </c>
      <c r="AC154" s="4">
        <v>5</v>
      </c>
      <c r="AD154" s="4">
        <v>14</v>
      </c>
      <c r="AE154" s="4">
        <v>14</v>
      </c>
      <c r="AF154" s="4">
        <v>5</v>
      </c>
      <c r="AG154" s="4">
        <v>5</v>
      </c>
      <c r="AH154" s="4">
        <v>1</v>
      </c>
      <c r="AI154" s="4">
        <v>1</v>
      </c>
      <c r="AJ154" s="4">
        <v>5</v>
      </c>
      <c r="AK154" s="4">
        <v>5</v>
      </c>
      <c r="AL154" s="4">
        <v>4</v>
      </c>
      <c r="AM154" s="4">
        <v>4</v>
      </c>
      <c r="AN154" s="4">
        <v>0</v>
      </c>
      <c r="AO154" s="4">
        <v>0</v>
      </c>
      <c r="AP154" s="3" t="s">
        <v>58</v>
      </c>
      <c r="AQ154" s="3" t="s">
        <v>58</v>
      </c>
      <c r="AS154" s="6" t="str">
        <f>HYPERLINK("https://creighton-primo.hosted.exlibrisgroup.com/primo-explore/search?tab=default_tab&amp;search_scope=EVERYTHING&amp;vid=01CRU&amp;lang=en_US&amp;offset=0&amp;query=any,contains,991000765599702656","Catalog Record")</f>
        <v>Catalog Record</v>
      </c>
      <c r="AT154" s="6" t="str">
        <f>HYPERLINK("http://www.worldcat.org/oclc/12996201","WorldCat Record")</f>
        <v>WorldCat Record</v>
      </c>
      <c r="AU154" s="3" t="s">
        <v>2002</v>
      </c>
      <c r="AV154" s="3" t="s">
        <v>2003</v>
      </c>
      <c r="AW154" s="3" t="s">
        <v>2004</v>
      </c>
      <c r="AX154" s="3" t="s">
        <v>2004</v>
      </c>
      <c r="AY154" s="3" t="s">
        <v>2005</v>
      </c>
      <c r="AZ154" s="3" t="s">
        <v>75</v>
      </c>
      <c r="BB154" s="3" t="s">
        <v>2006</v>
      </c>
      <c r="BC154" s="3" t="s">
        <v>2007</v>
      </c>
      <c r="BD154" s="3" t="s">
        <v>2008</v>
      </c>
    </row>
    <row r="155" spans="1:56" ht="39" customHeight="1" x14ac:dyDescent="0.25">
      <c r="A155" s="7" t="s">
        <v>58</v>
      </c>
      <c r="B155" s="2" t="s">
        <v>2009</v>
      </c>
      <c r="C155" s="2" t="s">
        <v>2010</v>
      </c>
      <c r="D155" s="2" t="s">
        <v>2011</v>
      </c>
      <c r="F155" s="3" t="s">
        <v>58</v>
      </c>
      <c r="G155" s="3" t="s">
        <v>59</v>
      </c>
      <c r="H155" s="3" t="s">
        <v>58</v>
      </c>
      <c r="I155" s="3" t="s">
        <v>58</v>
      </c>
      <c r="J155" s="3" t="s">
        <v>60</v>
      </c>
      <c r="K155" s="2" t="s">
        <v>2012</v>
      </c>
      <c r="L155" s="2" t="s">
        <v>2013</v>
      </c>
      <c r="M155" s="3" t="s">
        <v>98</v>
      </c>
      <c r="O155" s="3" t="s">
        <v>65</v>
      </c>
      <c r="P155" s="3" t="s">
        <v>186</v>
      </c>
      <c r="R155" s="3" t="s">
        <v>68</v>
      </c>
      <c r="S155" s="4">
        <v>2</v>
      </c>
      <c r="T155" s="4">
        <v>2</v>
      </c>
      <c r="U155" s="5" t="s">
        <v>2014</v>
      </c>
      <c r="V155" s="5" t="s">
        <v>2014</v>
      </c>
      <c r="W155" s="5" t="s">
        <v>1048</v>
      </c>
      <c r="X155" s="5" t="s">
        <v>1048</v>
      </c>
      <c r="Y155" s="4">
        <v>231</v>
      </c>
      <c r="Z155" s="4">
        <v>198</v>
      </c>
      <c r="AA155" s="4">
        <v>211</v>
      </c>
      <c r="AB155" s="4">
        <v>3</v>
      </c>
      <c r="AC155" s="4">
        <v>3</v>
      </c>
      <c r="AD155" s="4">
        <v>30</v>
      </c>
      <c r="AE155" s="4">
        <v>30</v>
      </c>
      <c r="AF155" s="4">
        <v>12</v>
      </c>
      <c r="AG155" s="4">
        <v>12</v>
      </c>
      <c r="AH155" s="4">
        <v>7</v>
      </c>
      <c r="AI155" s="4">
        <v>7</v>
      </c>
      <c r="AJ155" s="4">
        <v>22</v>
      </c>
      <c r="AK155" s="4">
        <v>22</v>
      </c>
      <c r="AL155" s="4">
        <v>1</v>
      </c>
      <c r="AM155" s="4">
        <v>1</v>
      </c>
      <c r="AN155" s="4">
        <v>0</v>
      </c>
      <c r="AO155" s="4">
        <v>0</v>
      </c>
      <c r="AP155" s="3" t="s">
        <v>58</v>
      </c>
      <c r="AQ155" s="3" t="s">
        <v>58</v>
      </c>
      <c r="AS155" s="6" t="str">
        <f>HYPERLINK("https://creighton-primo.hosted.exlibrisgroup.com/primo-explore/search?tab=default_tab&amp;search_scope=EVERYTHING&amp;vid=01CRU&amp;lang=en_US&amp;offset=0&amp;query=any,contains,991003894329702656","Catalog Record")</f>
        <v>Catalog Record</v>
      </c>
      <c r="AT155" s="6" t="str">
        <f>HYPERLINK("http://www.worldcat.org/oclc/1805450","WorldCat Record")</f>
        <v>WorldCat Record</v>
      </c>
      <c r="AU155" s="3" t="s">
        <v>2015</v>
      </c>
      <c r="AV155" s="3" t="s">
        <v>2016</v>
      </c>
      <c r="AW155" s="3" t="s">
        <v>2017</v>
      </c>
      <c r="AX155" s="3" t="s">
        <v>2017</v>
      </c>
      <c r="AY155" s="3" t="s">
        <v>2018</v>
      </c>
      <c r="AZ155" s="3" t="s">
        <v>75</v>
      </c>
      <c r="BC155" s="3" t="s">
        <v>2019</v>
      </c>
      <c r="BD155" s="3" t="s">
        <v>2020</v>
      </c>
    </row>
    <row r="156" spans="1:56" ht="39" customHeight="1" x14ac:dyDescent="0.25">
      <c r="A156" s="7" t="s">
        <v>58</v>
      </c>
      <c r="B156" s="2" t="s">
        <v>2021</v>
      </c>
      <c r="C156" s="2" t="s">
        <v>2022</v>
      </c>
      <c r="D156" s="2" t="s">
        <v>2023</v>
      </c>
      <c r="F156" s="3" t="s">
        <v>58</v>
      </c>
      <c r="G156" s="3" t="s">
        <v>59</v>
      </c>
      <c r="H156" s="3" t="s">
        <v>58</v>
      </c>
      <c r="I156" s="3" t="s">
        <v>58</v>
      </c>
      <c r="J156" s="3" t="s">
        <v>60</v>
      </c>
      <c r="K156" s="2" t="s">
        <v>2024</v>
      </c>
      <c r="L156" s="2" t="s">
        <v>2025</v>
      </c>
      <c r="M156" s="3" t="s">
        <v>1261</v>
      </c>
      <c r="O156" s="3" t="s">
        <v>65</v>
      </c>
      <c r="P156" s="3" t="s">
        <v>1961</v>
      </c>
      <c r="Q156" s="2" t="s">
        <v>2026</v>
      </c>
      <c r="R156" s="3" t="s">
        <v>68</v>
      </c>
      <c r="S156" s="4">
        <v>2</v>
      </c>
      <c r="T156" s="4">
        <v>2</v>
      </c>
      <c r="U156" s="5" t="s">
        <v>2027</v>
      </c>
      <c r="V156" s="5" t="s">
        <v>2027</v>
      </c>
      <c r="W156" s="5" t="s">
        <v>2028</v>
      </c>
      <c r="X156" s="5" t="s">
        <v>2028</v>
      </c>
      <c r="Y156" s="4">
        <v>23</v>
      </c>
      <c r="Z156" s="4">
        <v>20</v>
      </c>
      <c r="AA156" s="4">
        <v>21</v>
      </c>
      <c r="AB156" s="4">
        <v>1</v>
      </c>
      <c r="AC156" s="4">
        <v>1</v>
      </c>
      <c r="AD156" s="4">
        <v>5</v>
      </c>
      <c r="AE156" s="4">
        <v>5</v>
      </c>
      <c r="AF156" s="4">
        <v>1</v>
      </c>
      <c r="AG156" s="4">
        <v>1</v>
      </c>
      <c r="AH156" s="4">
        <v>1</v>
      </c>
      <c r="AI156" s="4">
        <v>1</v>
      </c>
      <c r="AJ156" s="4">
        <v>4</v>
      </c>
      <c r="AK156" s="4">
        <v>4</v>
      </c>
      <c r="AL156" s="4">
        <v>0</v>
      </c>
      <c r="AM156" s="4">
        <v>0</v>
      </c>
      <c r="AN156" s="4">
        <v>0</v>
      </c>
      <c r="AO156" s="4">
        <v>0</v>
      </c>
      <c r="AP156" s="3" t="s">
        <v>58</v>
      </c>
      <c r="AQ156" s="3" t="s">
        <v>58</v>
      </c>
      <c r="AS156" s="6" t="str">
        <f>HYPERLINK("https://creighton-primo.hosted.exlibrisgroup.com/primo-explore/search?tab=default_tab&amp;search_scope=EVERYTHING&amp;vid=01CRU&amp;lang=en_US&amp;offset=0&amp;query=any,contains,991001969499702656","Catalog Record")</f>
        <v>Catalog Record</v>
      </c>
      <c r="AT156" s="6" t="str">
        <f>HYPERLINK("http://www.worldcat.org/oclc/24958797","WorldCat Record")</f>
        <v>WorldCat Record</v>
      </c>
      <c r="AU156" s="3" t="s">
        <v>2029</v>
      </c>
      <c r="AV156" s="3" t="s">
        <v>2030</v>
      </c>
      <c r="AW156" s="3" t="s">
        <v>2031</v>
      </c>
      <c r="AX156" s="3" t="s">
        <v>2031</v>
      </c>
      <c r="AY156" s="3" t="s">
        <v>2032</v>
      </c>
      <c r="AZ156" s="3" t="s">
        <v>75</v>
      </c>
      <c r="BC156" s="3" t="s">
        <v>2033</v>
      </c>
      <c r="BD156" s="3" t="s">
        <v>2034</v>
      </c>
    </row>
    <row r="157" spans="1:56" ht="39" customHeight="1" x14ac:dyDescent="0.25">
      <c r="A157" s="7" t="s">
        <v>58</v>
      </c>
      <c r="B157" s="2" t="s">
        <v>2035</v>
      </c>
      <c r="C157" s="2" t="s">
        <v>2036</v>
      </c>
      <c r="D157" s="2" t="s">
        <v>2037</v>
      </c>
      <c r="F157" s="3" t="s">
        <v>58</v>
      </c>
      <c r="G157" s="3" t="s">
        <v>59</v>
      </c>
      <c r="H157" s="3" t="s">
        <v>58</v>
      </c>
      <c r="I157" s="3" t="s">
        <v>58</v>
      </c>
      <c r="J157" s="3" t="s">
        <v>60</v>
      </c>
      <c r="K157" s="2" t="s">
        <v>2038</v>
      </c>
      <c r="L157" s="2" t="s">
        <v>2039</v>
      </c>
      <c r="M157" s="3" t="s">
        <v>544</v>
      </c>
      <c r="O157" s="3" t="s">
        <v>65</v>
      </c>
      <c r="P157" s="3" t="s">
        <v>346</v>
      </c>
      <c r="R157" s="3" t="s">
        <v>68</v>
      </c>
      <c r="S157" s="4">
        <v>1</v>
      </c>
      <c r="T157" s="4">
        <v>1</v>
      </c>
      <c r="U157" s="5" t="s">
        <v>1949</v>
      </c>
      <c r="V157" s="5" t="s">
        <v>1949</v>
      </c>
      <c r="W157" s="5" t="s">
        <v>2040</v>
      </c>
      <c r="X157" s="5" t="s">
        <v>2040</v>
      </c>
      <c r="Y157" s="4">
        <v>220</v>
      </c>
      <c r="Z157" s="4">
        <v>183</v>
      </c>
      <c r="AA157" s="4">
        <v>188</v>
      </c>
      <c r="AB157" s="4">
        <v>3</v>
      </c>
      <c r="AC157" s="4">
        <v>3</v>
      </c>
      <c r="AD157" s="4">
        <v>14</v>
      </c>
      <c r="AE157" s="4">
        <v>14</v>
      </c>
      <c r="AF157" s="4">
        <v>4</v>
      </c>
      <c r="AG157" s="4">
        <v>4</v>
      </c>
      <c r="AH157" s="4">
        <v>2</v>
      </c>
      <c r="AI157" s="4">
        <v>2</v>
      </c>
      <c r="AJ157" s="4">
        <v>8</v>
      </c>
      <c r="AK157" s="4">
        <v>8</v>
      </c>
      <c r="AL157" s="4">
        <v>2</v>
      </c>
      <c r="AM157" s="4">
        <v>2</v>
      </c>
      <c r="AN157" s="4">
        <v>0</v>
      </c>
      <c r="AO157" s="4">
        <v>0</v>
      </c>
      <c r="AP157" s="3" t="s">
        <v>58</v>
      </c>
      <c r="AQ157" s="3" t="s">
        <v>58</v>
      </c>
      <c r="AS157" s="6" t="str">
        <f>HYPERLINK("https://creighton-primo.hosted.exlibrisgroup.com/primo-explore/search?tab=default_tab&amp;search_scope=EVERYTHING&amp;vid=01CRU&amp;lang=en_US&amp;offset=0&amp;query=any,contains,991002971129702656","Catalog Record")</f>
        <v>Catalog Record</v>
      </c>
      <c r="AT157" s="6" t="str">
        <f>HYPERLINK("http://www.worldcat.org/oclc/39786261","WorldCat Record")</f>
        <v>WorldCat Record</v>
      </c>
      <c r="AU157" s="3" t="s">
        <v>2041</v>
      </c>
      <c r="AV157" s="3" t="s">
        <v>2042</v>
      </c>
      <c r="AW157" s="3" t="s">
        <v>2043</v>
      </c>
      <c r="AX157" s="3" t="s">
        <v>2043</v>
      </c>
      <c r="AY157" s="3" t="s">
        <v>2044</v>
      </c>
      <c r="AZ157" s="3" t="s">
        <v>75</v>
      </c>
      <c r="BB157" s="3" t="s">
        <v>2045</v>
      </c>
      <c r="BC157" s="3" t="s">
        <v>2046</v>
      </c>
      <c r="BD157" s="3" t="s">
        <v>2047</v>
      </c>
    </row>
    <row r="158" spans="1:56" ht="39" customHeight="1" x14ac:dyDescent="0.25">
      <c r="A158" s="7" t="s">
        <v>58</v>
      </c>
      <c r="B158" s="2" t="s">
        <v>2048</v>
      </c>
      <c r="C158" s="2" t="s">
        <v>2049</v>
      </c>
      <c r="D158" s="2" t="s">
        <v>2050</v>
      </c>
      <c r="F158" s="3" t="s">
        <v>58</v>
      </c>
      <c r="G158" s="3" t="s">
        <v>59</v>
      </c>
      <c r="H158" s="3" t="s">
        <v>58</v>
      </c>
      <c r="I158" s="3" t="s">
        <v>58</v>
      </c>
      <c r="J158" s="3" t="s">
        <v>60</v>
      </c>
      <c r="L158" s="2" t="s">
        <v>2051</v>
      </c>
      <c r="M158" s="3" t="s">
        <v>157</v>
      </c>
      <c r="N158" s="2" t="s">
        <v>2052</v>
      </c>
      <c r="O158" s="3" t="s">
        <v>65</v>
      </c>
      <c r="P158" s="3" t="s">
        <v>186</v>
      </c>
      <c r="R158" s="3" t="s">
        <v>68</v>
      </c>
      <c r="S158" s="4">
        <v>9</v>
      </c>
      <c r="T158" s="4">
        <v>9</v>
      </c>
      <c r="U158" s="5" t="s">
        <v>2053</v>
      </c>
      <c r="V158" s="5" t="s">
        <v>2053</v>
      </c>
      <c r="W158" s="5" t="s">
        <v>2054</v>
      </c>
      <c r="X158" s="5" t="s">
        <v>2054</v>
      </c>
      <c r="Y158" s="4">
        <v>153</v>
      </c>
      <c r="Z158" s="4">
        <v>124</v>
      </c>
      <c r="AA158" s="4">
        <v>125</v>
      </c>
      <c r="AB158" s="4">
        <v>1</v>
      </c>
      <c r="AC158" s="4">
        <v>1</v>
      </c>
      <c r="AD158" s="4">
        <v>12</v>
      </c>
      <c r="AE158" s="4">
        <v>12</v>
      </c>
      <c r="AF158" s="4">
        <v>3</v>
      </c>
      <c r="AG158" s="4">
        <v>3</v>
      </c>
      <c r="AH158" s="4">
        <v>4</v>
      </c>
      <c r="AI158" s="4">
        <v>4</v>
      </c>
      <c r="AJ158" s="4">
        <v>8</v>
      </c>
      <c r="AK158" s="4">
        <v>8</v>
      </c>
      <c r="AL158" s="4">
        <v>0</v>
      </c>
      <c r="AM158" s="4">
        <v>0</v>
      </c>
      <c r="AN158" s="4">
        <v>0</v>
      </c>
      <c r="AO158" s="4">
        <v>0</v>
      </c>
      <c r="AP158" s="3" t="s">
        <v>58</v>
      </c>
      <c r="AQ158" s="3" t="s">
        <v>58</v>
      </c>
      <c r="AS158" s="6" t="str">
        <f>HYPERLINK("https://creighton-primo.hosted.exlibrisgroup.com/primo-explore/search?tab=default_tab&amp;search_scope=EVERYTHING&amp;vid=01CRU&amp;lang=en_US&amp;offset=0&amp;query=any,contains,991005125669702656","Catalog Record")</f>
        <v>Catalog Record</v>
      </c>
      <c r="AT158" s="6" t="str">
        <f>HYPERLINK("http://www.worldcat.org/oclc/7553425","WorldCat Record")</f>
        <v>WorldCat Record</v>
      </c>
      <c r="AU158" s="3" t="s">
        <v>2055</v>
      </c>
      <c r="AV158" s="3" t="s">
        <v>2056</v>
      </c>
      <c r="AW158" s="3" t="s">
        <v>2057</v>
      </c>
      <c r="AX158" s="3" t="s">
        <v>2057</v>
      </c>
      <c r="AY158" s="3" t="s">
        <v>2058</v>
      </c>
      <c r="AZ158" s="3" t="s">
        <v>75</v>
      </c>
      <c r="BB158" s="3" t="s">
        <v>2059</v>
      </c>
      <c r="BC158" s="3" t="s">
        <v>2060</v>
      </c>
      <c r="BD158" s="3" t="s">
        <v>2061</v>
      </c>
    </row>
    <row r="159" spans="1:56" ht="39" customHeight="1" x14ac:dyDescent="0.25">
      <c r="A159" s="7" t="s">
        <v>58</v>
      </c>
      <c r="B159" s="2" t="s">
        <v>2062</v>
      </c>
      <c r="C159" s="2" t="s">
        <v>2063</v>
      </c>
      <c r="D159" s="2" t="s">
        <v>2064</v>
      </c>
      <c r="F159" s="3" t="s">
        <v>58</v>
      </c>
      <c r="G159" s="3" t="s">
        <v>59</v>
      </c>
      <c r="H159" s="3" t="s">
        <v>58</v>
      </c>
      <c r="I159" s="3" t="s">
        <v>58</v>
      </c>
      <c r="J159" s="3" t="s">
        <v>60</v>
      </c>
      <c r="K159" s="2" t="s">
        <v>2065</v>
      </c>
      <c r="L159" s="2" t="s">
        <v>2066</v>
      </c>
      <c r="M159" s="3" t="s">
        <v>2067</v>
      </c>
      <c r="O159" s="3" t="s">
        <v>65</v>
      </c>
      <c r="P159" s="3" t="s">
        <v>954</v>
      </c>
      <c r="R159" s="3" t="s">
        <v>68</v>
      </c>
      <c r="S159" s="4">
        <v>5</v>
      </c>
      <c r="T159" s="4">
        <v>5</v>
      </c>
      <c r="U159" s="5" t="s">
        <v>2068</v>
      </c>
      <c r="V159" s="5" t="s">
        <v>2068</v>
      </c>
      <c r="W159" s="5" t="s">
        <v>2069</v>
      </c>
      <c r="X159" s="5" t="s">
        <v>2069</v>
      </c>
      <c r="Y159" s="4">
        <v>202</v>
      </c>
      <c r="Z159" s="4">
        <v>166</v>
      </c>
      <c r="AA159" s="4">
        <v>174</v>
      </c>
      <c r="AB159" s="4">
        <v>2</v>
      </c>
      <c r="AC159" s="4">
        <v>2</v>
      </c>
      <c r="AD159" s="4">
        <v>26</v>
      </c>
      <c r="AE159" s="4">
        <v>26</v>
      </c>
      <c r="AF159" s="4">
        <v>10</v>
      </c>
      <c r="AG159" s="4">
        <v>10</v>
      </c>
      <c r="AH159" s="4">
        <v>7</v>
      </c>
      <c r="AI159" s="4">
        <v>7</v>
      </c>
      <c r="AJ159" s="4">
        <v>19</v>
      </c>
      <c r="AK159" s="4">
        <v>19</v>
      </c>
      <c r="AL159" s="4">
        <v>0</v>
      </c>
      <c r="AM159" s="4">
        <v>0</v>
      </c>
      <c r="AN159" s="4">
        <v>0</v>
      </c>
      <c r="AO159" s="4">
        <v>0</v>
      </c>
      <c r="AP159" s="3" t="s">
        <v>58</v>
      </c>
      <c r="AQ159" s="3" t="s">
        <v>132</v>
      </c>
      <c r="AR159" s="6" t="str">
        <f>HYPERLINK("http://catalog.hathitrust.org/Record/011237307","HathiTrust Record")</f>
        <v>HathiTrust Record</v>
      </c>
      <c r="AS159" s="6" t="str">
        <f>HYPERLINK("https://creighton-primo.hosted.exlibrisgroup.com/primo-explore/search?tab=default_tab&amp;search_scope=EVERYTHING&amp;vid=01CRU&amp;lang=en_US&amp;offset=0&amp;query=any,contains,991002663209702656","Catalog Record")</f>
        <v>Catalog Record</v>
      </c>
      <c r="AT159" s="6" t="str">
        <f>HYPERLINK("http://www.worldcat.org/oclc/392174","WorldCat Record")</f>
        <v>WorldCat Record</v>
      </c>
      <c r="AU159" s="3" t="s">
        <v>2070</v>
      </c>
      <c r="AV159" s="3" t="s">
        <v>2071</v>
      </c>
      <c r="AW159" s="3" t="s">
        <v>2072</v>
      </c>
      <c r="AX159" s="3" t="s">
        <v>2072</v>
      </c>
      <c r="AY159" s="3" t="s">
        <v>2073</v>
      </c>
      <c r="AZ159" s="3" t="s">
        <v>75</v>
      </c>
      <c r="BC159" s="3" t="s">
        <v>2074</v>
      </c>
      <c r="BD159" s="3" t="s">
        <v>2075</v>
      </c>
    </row>
    <row r="160" spans="1:56" ht="39" customHeight="1" x14ac:dyDescent="0.25">
      <c r="A160" s="7" t="s">
        <v>58</v>
      </c>
      <c r="B160" s="2" t="s">
        <v>2076</v>
      </c>
      <c r="C160" s="2" t="s">
        <v>2077</v>
      </c>
      <c r="D160" s="2" t="s">
        <v>2078</v>
      </c>
      <c r="F160" s="3" t="s">
        <v>58</v>
      </c>
      <c r="G160" s="3" t="s">
        <v>59</v>
      </c>
      <c r="H160" s="3" t="s">
        <v>58</v>
      </c>
      <c r="I160" s="3" t="s">
        <v>58</v>
      </c>
      <c r="J160" s="3" t="s">
        <v>60</v>
      </c>
      <c r="K160" s="2" t="s">
        <v>2079</v>
      </c>
      <c r="L160" s="2" t="s">
        <v>2080</v>
      </c>
      <c r="M160" s="3" t="s">
        <v>544</v>
      </c>
      <c r="O160" s="3" t="s">
        <v>65</v>
      </c>
      <c r="P160" s="3" t="s">
        <v>158</v>
      </c>
      <c r="R160" s="3" t="s">
        <v>68</v>
      </c>
      <c r="S160" s="4">
        <v>6</v>
      </c>
      <c r="T160" s="4">
        <v>6</v>
      </c>
      <c r="U160" s="5" t="s">
        <v>1949</v>
      </c>
      <c r="V160" s="5" t="s">
        <v>1949</v>
      </c>
      <c r="W160" s="5" t="s">
        <v>2081</v>
      </c>
      <c r="X160" s="5" t="s">
        <v>2081</v>
      </c>
      <c r="Y160" s="4">
        <v>146</v>
      </c>
      <c r="Z160" s="4">
        <v>111</v>
      </c>
      <c r="AA160" s="4">
        <v>111</v>
      </c>
      <c r="AB160" s="4">
        <v>1</v>
      </c>
      <c r="AC160" s="4">
        <v>1</v>
      </c>
      <c r="AD160" s="4">
        <v>5</v>
      </c>
      <c r="AE160" s="4">
        <v>5</v>
      </c>
      <c r="AF160" s="4">
        <v>4</v>
      </c>
      <c r="AG160" s="4">
        <v>4</v>
      </c>
      <c r="AH160" s="4">
        <v>1</v>
      </c>
      <c r="AI160" s="4">
        <v>1</v>
      </c>
      <c r="AJ160" s="4">
        <v>2</v>
      </c>
      <c r="AK160" s="4">
        <v>2</v>
      </c>
      <c r="AL160" s="4">
        <v>0</v>
      </c>
      <c r="AM160" s="4">
        <v>0</v>
      </c>
      <c r="AN160" s="4">
        <v>0</v>
      </c>
      <c r="AO160" s="4">
        <v>0</v>
      </c>
      <c r="AP160" s="3" t="s">
        <v>58</v>
      </c>
      <c r="AQ160" s="3" t="s">
        <v>58</v>
      </c>
      <c r="AS160" s="6" t="str">
        <f>HYPERLINK("https://creighton-primo.hosted.exlibrisgroup.com/primo-explore/search?tab=default_tab&amp;search_scope=EVERYTHING&amp;vid=01CRU&amp;lang=en_US&amp;offset=0&amp;query=any,contains,991003019509702656","Catalog Record")</f>
        <v>Catalog Record</v>
      </c>
      <c r="AT160" s="6" t="str">
        <f>HYPERLINK("http://www.worldcat.org/oclc/41108621","WorldCat Record")</f>
        <v>WorldCat Record</v>
      </c>
      <c r="AU160" s="3" t="s">
        <v>2082</v>
      </c>
      <c r="AV160" s="3" t="s">
        <v>2083</v>
      </c>
      <c r="AW160" s="3" t="s">
        <v>2084</v>
      </c>
      <c r="AX160" s="3" t="s">
        <v>2084</v>
      </c>
      <c r="AY160" s="3" t="s">
        <v>2085</v>
      </c>
      <c r="AZ160" s="3" t="s">
        <v>75</v>
      </c>
      <c r="BB160" s="3" t="s">
        <v>2086</v>
      </c>
      <c r="BC160" s="3" t="s">
        <v>2087</v>
      </c>
      <c r="BD160" s="3" t="s">
        <v>2088</v>
      </c>
    </row>
    <row r="161" spans="1:56" ht="39" customHeight="1" x14ac:dyDescent="0.25">
      <c r="A161" s="7" t="s">
        <v>58</v>
      </c>
      <c r="B161" s="2" t="s">
        <v>2089</v>
      </c>
      <c r="C161" s="2" t="s">
        <v>2090</v>
      </c>
      <c r="D161" s="2" t="s">
        <v>2091</v>
      </c>
      <c r="F161" s="3" t="s">
        <v>58</v>
      </c>
      <c r="G161" s="3" t="s">
        <v>59</v>
      </c>
      <c r="H161" s="3" t="s">
        <v>58</v>
      </c>
      <c r="I161" s="3" t="s">
        <v>58</v>
      </c>
      <c r="J161" s="3" t="s">
        <v>60</v>
      </c>
      <c r="K161" s="2" t="s">
        <v>1947</v>
      </c>
      <c r="L161" s="2" t="s">
        <v>2092</v>
      </c>
      <c r="M161" s="3" t="s">
        <v>682</v>
      </c>
      <c r="O161" s="3" t="s">
        <v>65</v>
      </c>
      <c r="P161" s="3" t="s">
        <v>492</v>
      </c>
      <c r="R161" s="3" t="s">
        <v>68</v>
      </c>
      <c r="S161" s="4">
        <v>6</v>
      </c>
      <c r="T161" s="4">
        <v>6</v>
      </c>
      <c r="U161" s="5" t="s">
        <v>2093</v>
      </c>
      <c r="V161" s="5" t="s">
        <v>2093</v>
      </c>
      <c r="W161" s="5" t="s">
        <v>2069</v>
      </c>
      <c r="X161" s="5" t="s">
        <v>2069</v>
      </c>
      <c r="Y161" s="4">
        <v>167</v>
      </c>
      <c r="Z161" s="4">
        <v>161</v>
      </c>
      <c r="AA161" s="4">
        <v>166</v>
      </c>
      <c r="AB161" s="4">
        <v>2</v>
      </c>
      <c r="AC161" s="4">
        <v>2</v>
      </c>
      <c r="AD161" s="4">
        <v>20</v>
      </c>
      <c r="AE161" s="4">
        <v>20</v>
      </c>
      <c r="AF161" s="4">
        <v>4</v>
      </c>
      <c r="AG161" s="4">
        <v>4</v>
      </c>
      <c r="AH161" s="4">
        <v>6</v>
      </c>
      <c r="AI161" s="4">
        <v>6</v>
      </c>
      <c r="AJ161" s="4">
        <v>16</v>
      </c>
      <c r="AK161" s="4">
        <v>16</v>
      </c>
      <c r="AL161" s="4">
        <v>1</v>
      </c>
      <c r="AM161" s="4">
        <v>1</v>
      </c>
      <c r="AN161" s="4">
        <v>0</v>
      </c>
      <c r="AO161" s="4">
        <v>0</v>
      </c>
      <c r="AP161" s="3" t="s">
        <v>58</v>
      </c>
      <c r="AQ161" s="3" t="s">
        <v>58</v>
      </c>
      <c r="AS161" s="6" t="str">
        <f>HYPERLINK("https://creighton-primo.hosted.exlibrisgroup.com/primo-explore/search?tab=default_tab&amp;search_scope=EVERYTHING&amp;vid=01CRU&amp;lang=en_US&amp;offset=0&amp;query=any,contains,991003750079702656","Catalog Record")</f>
        <v>Catalog Record</v>
      </c>
      <c r="AT161" s="6" t="str">
        <f>HYPERLINK("http://www.worldcat.org/oclc/1424973","WorldCat Record")</f>
        <v>WorldCat Record</v>
      </c>
      <c r="AU161" s="3" t="s">
        <v>2094</v>
      </c>
      <c r="AV161" s="3" t="s">
        <v>2095</v>
      </c>
      <c r="AW161" s="3" t="s">
        <v>2096</v>
      </c>
      <c r="AX161" s="3" t="s">
        <v>2096</v>
      </c>
      <c r="AY161" s="3" t="s">
        <v>2097</v>
      </c>
      <c r="AZ161" s="3" t="s">
        <v>75</v>
      </c>
      <c r="BC161" s="3" t="s">
        <v>2098</v>
      </c>
      <c r="BD161" s="3" t="s">
        <v>2099</v>
      </c>
    </row>
    <row r="162" spans="1:56" ht="39" customHeight="1" x14ac:dyDescent="0.25">
      <c r="A162" s="7" t="s">
        <v>58</v>
      </c>
      <c r="B162" s="2" t="s">
        <v>2100</v>
      </c>
      <c r="C162" s="2" t="s">
        <v>2101</v>
      </c>
      <c r="D162" s="2" t="s">
        <v>2102</v>
      </c>
      <c r="F162" s="3" t="s">
        <v>58</v>
      </c>
      <c r="G162" s="3" t="s">
        <v>59</v>
      </c>
      <c r="H162" s="3" t="s">
        <v>58</v>
      </c>
      <c r="I162" s="3" t="s">
        <v>58</v>
      </c>
      <c r="J162" s="3" t="s">
        <v>60</v>
      </c>
      <c r="L162" s="2" t="s">
        <v>2103</v>
      </c>
      <c r="M162" s="3" t="s">
        <v>215</v>
      </c>
      <c r="O162" s="3" t="s">
        <v>65</v>
      </c>
      <c r="P162" s="3" t="s">
        <v>158</v>
      </c>
      <c r="Q162" s="2" t="s">
        <v>2104</v>
      </c>
      <c r="R162" s="3" t="s">
        <v>68</v>
      </c>
      <c r="S162" s="4">
        <v>1</v>
      </c>
      <c r="T162" s="4">
        <v>1</v>
      </c>
      <c r="U162" s="5" t="s">
        <v>2105</v>
      </c>
      <c r="V162" s="5" t="s">
        <v>2105</v>
      </c>
      <c r="W162" s="5" t="s">
        <v>2106</v>
      </c>
      <c r="X162" s="5" t="s">
        <v>2106</v>
      </c>
      <c r="Y162" s="4">
        <v>321</v>
      </c>
      <c r="Z162" s="4">
        <v>246</v>
      </c>
      <c r="AA162" s="4">
        <v>253</v>
      </c>
      <c r="AB162" s="4">
        <v>1</v>
      </c>
      <c r="AC162" s="4">
        <v>1</v>
      </c>
      <c r="AD162" s="4">
        <v>26</v>
      </c>
      <c r="AE162" s="4">
        <v>26</v>
      </c>
      <c r="AF162" s="4">
        <v>7</v>
      </c>
      <c r="AG162" s="4">
        <v>7</v>
      </c>
      <c r="AH162" s="4">
        <v>7</v>
      </c>
      <c r="AI162" s="4">
        <v>7</v>
      </c>
      <c r="AJ162" s="4">
        <v>20</v>
      </c>
      <c r="AK162" s="4">
        <v>20</v>
      </c>
      <c r="AL162" s="4">
        <v>0</v>
      </c>
      <c r="AM162" s="4">
        <v>0</v>
      </c>
      <c r="AN162" s="4">
        <v>0</v>
      </c>
      <c r="AO162" s="4">
        <v>0</v>
      </c>
      <c r="AP162" s="3" t="s">
        <v>58</v>
      </c>
      <c r="AQ162" s="3" t="s">
        <v>132</v>
      </c>
      <c r="AR162" s="6" t="str">
        <f>HYPERLINK("http://catalog.hathitrust.org/Record/000902497","HathiTrust Record")</f>
        <v>HathiTrust Record</v>
      </c>
      <c r="AS162" s="6" t="str">
        <f>HYPERLINK("https://creighton-primo.hosted.exlibrisgroup.com/primo-explore/search?tab=default_tab&amp;search_scope=EVERYTHING&amp;vid=01CRU&amp;lang=en_US&amp;offset=0&amp;query=any,contains,991001016849702656","Catalog Record")</f>
        <v>Catalog Record</v>
      </c>
      <c r="AT162" s="6" t="str">
        <f>HYPERLINK("http://www.worldcat.org/oclc/15318114","WorldCat Record")</f>
        <v>WorldCat Record</v>
      </c>
      <c r="AU162" s="3" t="s">
        <v>2107</v>
      </c>
      <c r="AV162" s="3" t="s">
        <v>2108</v>
      </c>
      <c r="AW162" s="3" t="s">
        <v>2109</v>
      </c>
      <c r="AX162" s="3" t="s">
        <v>2109</v>
      </c>
      <c r="AY162" s="3" t="s">
        <v>2110</v>
      </c>
      <c r="AZ162" s="3" t="s">
        <v>75</v>
      </c>
      <c r="BB162" s="3" t="s">
        <v>2111</v>
      </c>
      <c r="BC162" s="3" t="s">
        <v>2112</v>
      </c>
      <c r="BD162" s="3" t="s">
        <v>2113</v>
      </c>
    </row>
    <row r="163" spans="1:56" ht="39" customHeight="1" x14ac:dyDescent="0.25">
      <c r="A163" s="7" t="s">
        <v>58</v>
      </c>
      <c r="B163" s="2" t="s">
        <v>2114</v>
      </c>
      <c r="C163" s="2" t="s">
        <v>2115</v>
      </c>
      <c r="D163" s="2" t="s">
        <v>2116</v>
      </c>
      <c r="F163" s="3" t="s">
        <v>58</v>
      </c>
      <c r="G163" s="3" t="s">
        <v>59</v>
      </c>
      <c r="H163" s="3" t="s">
        <v>58</v>
      </c>
      <c r="I163" s="3" t="s">
        <v>58</v>
      </c>
      <c r="J163" s="3" t="s">
        <v>60</v>
      </c>
      <c r="K163" s="2" t="s">
        <v>2117</v>
      </c>
      <c r="L163" s="2" t="s">
        <v>2118</v>
      </c>
      <c r="M163" s="3" t="s">
        <v>2119</v>
      </c>
      <c r="N163" s="2" t="s">
        <v>1828</v>
      </c>
      <c r="O163" s="3" t="s">
        <v>65</v>
      </c>
      <c r="P163" s="3" t="s">
        <v>66</v>
      </c>
      <c r="R163" s="3" t="s">
        <v>68</v>
      </c>
      <c r="S163" s="4">
        <v>4</v>
      </c>
      <c r="T163" s="4">
        <v>4</v>
      </c>
      <c r="U163" s="5" t="s">
        <v>2120</v>
      </c>
      <c r="V163" s="5" t="s">
        <v>2120</v>
      </c>
      <c r="W163" s="5" t="s">
        <v>1867</v>
      </c>
      <c r="X163" s="5" t="s">
        <v>1867</v>
      </c>
      <c r="Y163" s="4">
        <v>75</v>
      </c>
      <c r="Z163" s="4">
        <v>51</v>
      </c>
      <c r="AA163" s="4">
        <v>142</v>
      </c>
      <c r="AB163" s="4">
        <v>2</v>
      </c>
      <c r="AC163" s="4">
        <v>3</v>
      </c>
      <c r="AD163" s="4">
        <v>15</v>
      </c>
      <c r="AE163" s="4">
        <v>22</v>
      </c>
      <c r="AF163" s="4">
        <v>3</v>
      </c>
      <c r="AG163" s="4">
        <v>4</v>
      </c>
      <c r="AH163" s="4">
        <v>4</v>
      </c>
      <c r="AI163" s="4">
        <v>5</v>
      </c>
      <c r="AJ163" s="4">
        <v>13</v>
      </c>
      <c r="AK163" s="4">
        <v>20</v>
      </c>
      <c r="AL163" s="4">
        <v>0</v>
      </c>
      <c r="AM163" s="4">
        <v>0</v>
      </c>
      <c r="AN163" s="4">
        <v>0</v>
      </c>
      <c r="AO163" s="4">
        <v>0</v>
      </c>
      <c r="AP163" s="3" t="s">
        <v>58</v>
      </c>
      <c r="AQ163" s="3" t="s">
        <v>58</v>
      </c>
      <c r="AS163" s="6" t="str">
        <f>HYPERLINK("https://creighton-primo.hosted.exlibrisgroup.com/primo-explore/search?tab=default_tab&amp;search_scope=EVERYTHING&amp;vid=01CRU&amp;lang=en_US&amp;offset=0&amp;query=any,contains,991004183529702656","Catalog Record")</f>
        <v>Catalog Record</v>
      </c>
      <c r="AT163" s="6" t="str">
        <f>HYPERLINK("http://www.worldcat.org/oclc/2611836","WorldCat Record")</f>
        <v>WorldCat Record</v>
      </c>
      <c r="AU163" s="3" t="s">
        <v>2121</v>
      </c>
      <c r="AV163" s="3" t="s">
        <v>2122</v>
      </c>
      <c r="AW163" s="3" t="s">
        <v>2123</v>
      </c>
      <c r="AX163" s="3" t="s">
        <v>2123</v>
      </c>
      <c r="AY163" s="3" t="s">
        <v>2124</v>
      </c>
      <c r="AZ163" s="3" t="s">
        <v>75</v>
      </c>
      <c r="BC163" s="3" t="s">
        <v>2125</v>
      </c>
      <c r="BD163" s="3" t="s">
        <v>2126</v>
      </c>
    </row>
    <row r="164" spans="1:56" ht="39" customHeight="1" x14ac:dyDescent="0.25">
      <c r="A164" s="7" t="s">
        <v>58</v>
      </c>
      <c r="B164" s="2" t="s">
        <v>2127</v>
      </c>
      <c r="C164" s="2" t="s">
        <v>2128</v>
      </c>
      <c r="D164" s="2" t="s">
        <v>2129</v>
      </c>
      <c r="F164" s="3" t="s">
        <v>58</v>
      </c>
      <c r="G164" s="3" t="s">
        <v>59</v>
      </c>
      <c r="H164" s="3" t="s">
        <v>58</v>
      </c>
      <c r="I164" s="3" t="s">
        <v>58</v>
      </c>
      <c r="J164" s="3" t="s">
        <v>60</v>
      </c>
      <c r="L164" s="2" t="s">
        <v>2130</v>
      </c>
      <c r="M164" s="3" t="s">
        <v>1723</v>
      </c>
      <c r="O164" s="3" t="s">
        <v>65</v>
      </c>
      <c r="P164" s="3" t="s">
        <v>1961</v>
      </c>
      <c r="R164" s="3" t="s">
        <v>68</v>
      </c>
      <c r="S164" s="4">
        <v>4</v>
      </c>
      <c r="T164" s="4">
        <v>4</v>
      </c>
      <c r="U164" s="5" t="s">
        <v>2001</v>
      </c>
      <c r="V164" s="5" t="s">
        <v>2001</v>
      </c>
      <c r="W164" s="5" t="s">
        <v>2131</v>
      </c>
      <c r="X164" s="5" t="s">
        <v>2131</v>
      </c>
      <c r="Y164" s="4">
        <v>74</v>
      </c>
      <c r="Z164" s="4">
        <v>64</v>
      </c>
      <c r="AA164" s="4">
        <v>64</v>
      </c>
      <c r="AB164" s="4">
        <v>1</v>
      </c>
      <c r="AC164" s="4">
        <v>1</v>
      </c>
      <c r="AD164" s="4">
        <v>14</v>
      </c>
      <c r="AE164" s="4">
        <v>14</v>
      </c>
      <c r="AF164" s="4">
        <v>3</v>
      </c>
      <c r="AG164" s="4">
        <v>3</v>
      </c>
      <c r="AH164" s="4">
        <v>3</v>
      </c>
      <c r="AI164" s="4">
        <v>3</v>
      </c>
      <c r="AJ164" s="4">
        <v>12</v>
      </c>
      <c r="AK164" s="4">
        <v>12</v>
      </c>
      <c r="AL164" s="4">
        <v>0</v>
      </c>
      <c r="AM164" s="4">
        <v>0</v>
      </c>
      <c r="AN164" s="4">
        <v>0</v>
      </c>
      <c r="AO164" s="4">
        <v>0</v>
      </c>
      <c r="AP164" s="3" t="s">
        <v>58</v>
      </c>
      <c r="AQ164" s="3" t="s">
        <v>58</v>
      </c>
      <c r="AS164" s="6" t="str">
        <f>HYPERLINK("https://creighton-primo.hosted.exlibrisgroup.com/primo-explore/search?tab=default_tab&amp;search_scope=EVERYTHING&amp;vid=01CRU&amp;lang=en_US&amp;offset=0&amp;query=any,contains,991003545359702656","Catalog Record")</f>
        <v>Catalog Record</v>
      </c>
      <c r="AT164" s="6" t="str">
        <f>HYPERLINK("http://www.worldcat.org/oclc/47093440","WorldCat Record")</f>
        <v>WorldCat Record</v>
      </c>
      <c r="AU164" s="3" t="s">
        <v>2132</v>
      </c>
      <c r="AV164" s="3" t="s">
        <v>2133</v>
      </c>
      <c r="AW164" s="3" t="s">
        <v>2134</v>
      </c>
      <c r="AX164" s="3" t="s">
        <v>2134</v>
      </c>
      <c r="AY164" s="3" t="s">
        <v>2135</v>
      </c>
      <c r="AZ164" s="3" t="s">
        <v>75</v>
      </c>
      <c r="BB164" s="3" t="s">
        <v>2136</v>
      </c>
      <c r="BC164" s="3" t="s">
        <v>2137</v>
      </c>
      <c r="BD164" s="3" t="s">
        <v>2138</v>
      </c>
    </row>
    <row r="165" spans="1:56" ht="39" customHeight="1" x14ac:dyDescent="0.25">
      <c r="A165" s="7" t="s">
        <v>58</v>
      </c>
      <c r="B165" s="2" t="s">
        <v>2139</v>
      </c>
      <c r="C165" s="2" t="s">
        <v>2140</v>
      </c>
      <c r="D165" s="2" t="s">
        <v>2141</v>
      </c>
      <c r="F165" s="3" t="s">
        <v>58</v>
      </c>
      <c r="G165" s="3" t="s">
        <v>59</v>
      </c>
      <c r="H165" s="3" t="s">
        <v>58</v>
      </c>
      <c r="I165" s="3" t="s">
        <v>58</v>
      </c>
      <c r="J165" s="3" t="s">
        <v>60</v>
      </c>
      <c r="L165" s="2" t="s">
        <v>2142</v>
      </c>
      <c r="M165" s="3" t="s">
        <v>185</v>
      </c>
      <c r="O165" s="3" t="s">
        <v>65</v>
      </c>
      <c r="P165" s="3" t="s">
        <v>1961</v>
      </c>
      <c r="R165" s="3" t="s">
        <v>68</v>
      </c>
      <c r="S165" s="4">
        <v>3</v>
      </c>
      <c r="T165" s="4">
        <v>3</v>
      </c>
      <c r="U165" s="5" t="s">
        <v>2001</v>
      </c>
      <c r="V165" s="5" t="s">
        <v>2001</v>
      </c>
      <c r="W165" s="5" t="s">
        <v>2131</v>
      </c>
      <c r="X165" s="5" t="s">
        <v>2131</v>
      </c>
      <c r="Y165" s="4">
        <v>48</v>
      </c>
      <c r="Z165" s="4">
        <v>43</v>
      </c>
      <c r="AA165" s="4">
        <v>43</v>
      </c>
      <c r="AB165" s="4">
        <v>1</v>
      </c>
      <c r="AC165" s="4">
        <v>1</v>
      </c>
      <c r="AD165" s="4">
        <v>8</v>
      </c>
      <c r="AE165" s="4">
        <v>8</v>
      </c>
      <c r="AF165" s="4">
        <v>1</v>
      </c>
      <c r="AG165" s="4">
        <v>1</v>
      </c>
      <c r="AH165" s="4">
        <v>0</v>
      </c>
      <c r="AI165" s="4">
        <v>0</v>
      </c>
      <c r="AJ165" s="4">
        <v>8</v>
      </c>
      <c r="AK165" s="4">
        <v>8</v>
      </c>
      <c r="AL165" s="4">
        <v>0</v>
      </c>
      <c r="AM165" s="4">
        <v>0</v>
      </c>
      <c r="AN165" s="4">
        <v>0</v>
      </c>
      <c r="AO165" s="4">
        <v>0</v>
      </c>
      <c r="AP165" s="3" t="s">
        <v>58</v>
      </c>
      <c r="AQ165" s="3" t="s">
        <v>58</v>
      </c>
      <c r="AS165" s="6" t="str">
        <f>HYPERLINK("https://creighton-primo.hosted.exlibrisgroup.com/primo-explore/search?tab=default_tab&amp;search_scope=EVERYTHING&amp;vid=01CRU&amp;lang=en_US&amp;offset=0&amp;query=any,contains,991003545329702656","Catalog Record")</f>
        <v>Catalog Record</v>
      </c>
      <c r="AT165" s="6" t="str">
        <f>HYPERLINK("http://www.worldcat.org/oclc/47093462","WorldCat Record")</f>
        <v>WorldCat Record</v>
      </c>
      <c r="AU165" s="3" t="s">
        <v>2143</v>
      </c>
      <c r="AV165" s="3" t="s">
        <v>2144</v>
      </c>
      <c r="AW165" s="3" t="s">
        <v>2145</v>
      </c>
      <c r="AX165" s="3" t="s">
        <v>2145</v>
      </c>
      <c r="AY165" s="3" t="s">
        <v>2146</v>
      </c>
      <c r="AZ165" s="3" t="s">
        <v>75</v>
      </c>
      <c r="BB165" s="3" t="s">
        <v>2147</v>
      </c>
      <c r="BC165" s="3" t="s">
        <v>2148</v>
      </c>
      <c r="BD165" s="3" t="s">
        <v>2149</v>
      </c>
    </row>
    <row r="166" spans="1:56" ht="39" customHeight="1" x14ac:dyDescent="0.25">
      <c r="A166" s="7" t="s">
        <v>58</v>
      </c>
      <c r="B166" s="2" t="s">
        <v>2150</v>
      </c>
      <c r="C166" s="2" t="s">
        <v>2151</v>
      </c>
      <c r="D166" s="2" t="s">
        <v>2152</v>
      </c>
      <c r="F166" s="3" t="s">
        <v>58</v>
      </c>
      <c r="G166" s="3" t="s">
        <v>59</v>
      </c>
      <c r="H166" s="3" t="s">
        <v>58</v>
      </c>
      <c r="I166" s="3" t="s">
        <v>58</v>
      </c>
      <c r="J166" s="3" t="s">
        <v>60</v>
      </c>
      <c r="K166" s="2" t="s">
        <v>2153</v>
      </c>
      <c r="L166" s="2" t="s">
        <v>2154</v>
      </c>
      <c r="M166" s="3" t="s">
        <v>1371</v>
      </c>
      <c r="O166" s="3" t="s">
        <v>65</v>
      </c>
      <c r="P166" s="3" t="s">
        <v>1358</v>
      </c>
      <c r="R166" s="3" t="s">
        <v>68</v>
      </c>
      <c r="S166" s="4">
        <v>5</v>
      </c>
      <c r="T166" s="4">
        <v>5</v>
      </c>
      <c r="U166" s="5" t="s">
        <v>2155</v>
      </c>
      <c r="V166" s="5" t="s">
        <v>2155</v>
      </c>
      <c r="W166" s="5" t="s">
        <v>2156</v>
      </c>
      <c r="X166" s="5" t="s">
        <v>2156</v>
      </c>
      <c r="Y166" s="4">
        <v>94</v>
      </c>
      <c r="Z166" s="4">
        <v>84</v>
      </c>
      <c r="AA166" s="4">
        <v>89</v>
      </c>
      <c r="AB166" s="4">
        <v>2</v>
      </c>
      <c r="AC166" s="4">
        <v>2</v>
      </c>
      <c r="AD166" s="4">
        <v>14</v>
      </c>
      <c r="AE166" s="4">
        <v>14</v>
      </c>
      <c r="AF166" s="4">
        <v>4</v>
      </c>
      <c r="AG166" s="4">
        <v>4</v>
      </c>
      <c r="AH166" s="4">
        <v>4</v>
      </c>
      <c r="AI166" s="4">
        <v>4</v>
      </c>
      <c r="AJ166" s="4">
        <v>11</v>
      </c>
      <c r="AK166" s="4">
        <v>11</v>
      </c>
      <c r="AL166" s="4">
        <v>0</v>
      </c>
      <c r="AM166" s="4">
        <v>0</v>
      </c>
      <c r="AN166" s="4">
        <v>0</v>
      </c>
      <c r="AO166" s="4">
        <v>0</v>
      </c>
      <c r="AP166" s="3" t="s">
        <v>58</v>
      </c>
      <c r="AQ166" s="3" t="s">
        <v>58</v>
      </c>
      <c r="AS166" s="6" t="str">
        <f>HYPERLINK("https://creighton-primo.hosted.exlibrisgroup.com/primo-explore/search?tab=default_tab&amp;search_scope=EVERYTHING&amp;vid=01CRU&amp;lang=en_US&amp;offset=0&amp;query=any,contains,991004143209702656","Catalog Record")</f>
        <v>Catalog Record</v>
      </c>
      <c r="AT166" s="6" t="str">
        <f>HYPERLINK("http://www.worldcat.org/oclc/2504481","WorldCat Record")</f>
        <v>WorldCat Record</v>
      </c>
      <c r="AU166" s="3" t="s">
        <v>2157</v>
      </c>
      <c r="AV166" s="3" t="s">
        <v>2158</v>
      </c>
      <c r="AW166" s="3" t="s">
        <v>2159</v>
      </c>
      <c r="AX166" s="3" t="s">
        <v>2159</v>
      </c>
      <c r="AY166" s="3" t="s">
        <v>2160</v>
      </c>
      <c r="AZ166" s="3" t="s">
        <v>75</v>
      </c>
      <c r="BC166" s="3" t="s">
        <v>2161</v>
      </c>
      <c r="BD166" s="3" t="s">
        <v>2162</v>
      </c>
    </row>
    <row r="167" spans="1:56" ht="39" customHeight="1" x14ac:dyDescent="0.25">
      <c r="A167" s="7" t="s">
        <v>58</v>
      </c>
      <c r="B167" s="2" t="s">
        <v>2163</v>
      </c>
      <c r="C167" s="2" t="s">
        <v>2164</v>
      </c>
      <c r="D167" s="2" t="s">
        <v>2165</v>
      </c>
      <c r="F167" s="3" t="s">
        <v>58</v>
      </c>
      <c r="G167" s="3" t="s">
        <v>59</v>
      </c>
      <c r="H167" s="3" t="s">
        <v>58</v>
      </c>
      <c r="I167" s="3" t="s">
        <v>58</v>
      </c>
      <c r="J167" s="3" t="s">
        <v>60</v>
      </c>
      <c r="K167" s="2" t="s">
        <v>2166</v>
      </c>
      <c r="L167" s="2" t="s">
        <v>2167</v>
      </c>
      <c r="M167" s="3" t="s">
        <v>831</v>
      </c>
      <c r="O167" s="3" t="s">
        <v>65</v>
      </c>
      <c r="P167" s="3" t="s">
        <v>186</v>
      </c>
      <c r="R167" s="3" t="s">
        <v>68</v>
      </c>
      <c r="S167" s="4">
        <v>2</v>
      </c>
      <c r="T167" s="4">
        <v>2</v>
      </c>
      <c r="U167" s="5" t="s">
        <v>2155</v>
      </c>
      <c r="V167" s="5" t="s">
        <v>2155</v>
      </c>
      <c r="W167" s="5" t="s">
        <v>1867</v>
      </c>
      <c r="X167" s="5" t="s">
        <v>1867</v>
      </c>
      <c r="Y167" s="4">
        <v>26</v>
      </c>
      <c r="Z167" s="4">
        <v>25</v>
      </c>
      <c r="AA167" s="4">
        <v>25</v>
      </c>
      <c r="AB167" s="4">
        <v>1</v>
      </c>
      <c r="AC167" s="4">
        <v>1</v>
      </c>
      <c r="AD167" s="4">
        <v>6</v>
      </c>
      <c r="AE167" s="4">
        <v>6</v>
      </c>
      <c r="AF167" s="4">
        <v>0</v>
      </c>
      <c r="AG167" s="4">
        <v>0</v>
      </c>
      <c r="AH167" s="4">
        <v>3</v>
      </c>
      <c r="AI167" s="4">
        <v>3</v>
      </c>
      <c r="AJ167" s="4">
        <v>4</v>
      </c>
      <c r="AK167" s="4">
        <v>4</v>
      </c>
      <c r="AL167" s="4">
        <v>0</v>
      </c>
      <c r="AM167" s="4">
        <v>0</v>
      </c>
      <c r="AN167" s="4">
        <v>0</v>
      </c>
      <c r="AO167" s="4">
        <v>0</v>
      </c>
      <c r="AP167" s="3" t="s">
        <v>58</v>
      </c>
      <c r="AQ167" s="3" t="s">
        <v>58</v>
      </c>
      <c r="AS167" s="6" t="str">
        <f>HYPERLINK("https://creighton-primo.hosted.exlibrisgroup.com/primo-explore/search?tab=default_tab&amp;search_scope=EVERYTHING&amp;vid=01CRU&amp;lang=en_US&amp;offset=0&amp;query=any,contains,991005069359702656","Catalog Record")</f>
        <v>Catalog Record</v>
      </c>
      <c r="AT167" s="6" t="str">
        <f>HYPERLINK("http://www.worldcat.org/oclc/6998953","WorldCat Record")</f>
        <v>WorldCat Record</v>
      </c>
      <c r="AU167" s="3" t="s">
        <v>2168</v>
      </c>
      <c r="AV167" s="3" t="s">
        <v>2169</v>
      </c>
      <c r="AW167" s="3" t="s">
        <v>2170</v>
      </c>
      <c r="AX167" s="3" t="s">
        <v>2170</v>
      </c>
      <c r="AY167" s="3" t="s">
        <v>2171</v>
      </c>
      <c r="AZ167" s="3" t="s">
        <v>75</v>
      </c>
      <c r="BC167" s="3" t="s">
        <v>2172</v>
      </c>
      <c r="BD167" s="3" t="s">
        <v>2173</v>
      </c>
    </row>
    <row r="168" spans="1:56" ht="39" customHeight="1" x14ac:dyDescent="0.25">
      <c r="A168" s="7" t="s">
        <v>58</v>
      </c>
      <c r="B168" s="2" t="s">
        <v>2174</v>
      </c>
      <c r="C168" s="2" t="s">
        <v>2175</v>
      </c>
      <c r="D168" s="2" t="s">
        <v>2176</v>
      </c>
      <c r="F168" s="3" t="s">
        <v>58</v>
      </c>
      <c r="G168" s="3" t="s">
        <v>59</v>
      </c>
      <c r="H168" s="3" t="s">
        <v>58</v>
      </c>
      <c r="I168" s="3" t="s">
        <v>58</v>
      </c>
      <c r="J168" s="3" t="s">
        <v>60</v>
      </c>
      <c r="K168" s="2" t="s">
        <v>2177</v>
      </c>
      <c r="L168" s="2" t="s">
        <v>2178</v>
      </c>
      <c r="M168" s="3" t="s">
        <v>2179</v>
      </c>
      <c r="O168" s="3" t="s">
        <v>65</v>
      </c>
      <c r="P168" s="3" t="s">
        <v>186</v>
      </c>
      <c r="R168" s="3" t="s">
        <v>68</v>
      </c>
      <c r="S168" s="4">
        <v>4</v>
      </c>
      <c r="T168" s="4">
        <v>4</v>
      </c>
      <c r="U168" s="5" t="s">
        <v>2180</v>
      </c>
      <c r="V168" s="5" t="s">
        <v>2180</v>
      </c>
      <c r="W168" s="5" t="s">
        <v>1867</v>
      </c>
      <c r="X168" s="5" t="s">
        <v>1867</v>
      </c>
      <c r="Y168" s="4">
        <v>269</v>
      </c>
      <c r="Z168" s="4">
        <v>240</v>
      </c>
      <c r="AA168" s="4">
        <v>298</v>
      </c>
      <c r="AB168" s="4">
        <v>3</v>
      </c>
      <c r="AC168" s="4">
        <v>3</v>
      </c>
      <c r="AD168" s="4">
        <v>30</v>
      </c>
      <c r="AE168" s="4">
        <v>32</v>
      </c>
      <c r="AF168" s="4">
        <v>9</v>
      </c>
      <c r="AG168" s="4">
        <v>9</v>
      </c>
      <c r="AH168" s="4">
        <v>8</v>
      </c>
      <c r="AI168" s="4">
        <v>8</v>
      </c>
      <c r="AJ168" s="4">
        <v>24</v>
      </c>
      <c r="AK168" s="4">
        <v>26</v>
      </c>
      <c r="AL168" s="4">
        <v>1</v>
      </c>
      <c r="AM168" s="4">
        <v>1</v>
      </c>
      <c r="AN168" s="4">
        <v>0</v>
      </c>
      <c r="AO168" s="4">
        <v>0</v>
      </c>
      <c r="AP168" s="3" t="s">
        <v>58</v>
      </c>
      <c r="AQ168" s="3" t="s">
        <v>58</v>
      </c>
      <c r="AS168" s="6" t="str">
        <f>HYPERLINK("https://creighton-primo.hosted.exlibrisgroup.com/primo-explore/search?tab=default_tab&amp;search_scope=EVERYTHING&amp;vid=01CRU&amp;lang=en_US&amp;offset=0&amp;query=any,contains,991003992389702656","Catalog Record")</f>
        <v>Catalog Record</v>
      </c>
      <c r="AT168" s="6" t="str">
        <f>HYPERLINK("http://www.worldcat.org/oclc/2049598","WorldCat Record")</f>
        <v>WorldCat Record</v>
      </c>
      <c r="AU168" s="3" t="s">
        <v>2181</v>
      </c>
      <c r="AV168" s="3" t="s">
        <v>2182</v>
      </c>
      <c r="AW168" s="3" t="s">
        <v>2183</v>
      </c>
      <c r="AX168" s="3" t="s">
        <v>2183</v>
      </c>
      <c r="AY168" s="3" t="s">
        <v>2184</v>
      </c>
      <c r="AZ168" s="3" t="s">
        <v>75</v>
      </c>
      <c r="BC168" s="3" t="s">
        <v>2185</v>
      </c>
      <c r="BD168" s="3" t="s">
        <v>2186</v>
      </c>
    </row>
    <row r="169" spans="1:56" ht="39" customHeight="1" x14ac:dyDescent="0.25">
      <c r="A169" s="7" t="s">
        <v>58</v>
      </c>
      <c r="B169" s="2" t="s">
        <v>2187</v>
      </c>
      <c r="C169" s="2" t="s">
        <v>2188</v>
      </c>
      <c r="D169" s="2" t="s">
        <v>2189</v>
      </c>
      <c r="F169" s="3" t="s">
        <v>58</v>
      </c>
      <c r="G169" s="3" t="s">
        <v>59</v>
      </c>
      <c r="H169" s="3" t="s">
        <v>58</v>
      </c>
      <c r="I169" s="3" t="s">
        <v>58</v>
      </c>
      <c r="J169" s="3" t="s">
        <v>60</v>
      </c>
      <c r="K169" s="2" t="s">
        <v>2190</v>
      </c>
      <c r="L169" s="2" t="s">
        <v>2191</v>
      </c>
      <c r="M169" s="3" t="s">
        <v>2192</v>
      </c>
      <c r="O169" s="3" t="s">
        <v>65</v>
      </c>
      <c r="P169" s="3" t="s">
        <v>66</v>
      </c>
      <c r="R169" s="3" t="s">
        <v>68</v>
      </c>
      <c r="S169" s="4">
        <v>2</v>
      </c>
      <c r="T169" s="4">
        <v>2</v>
      </c>
      <c r="U169" s="5" t="s">
        <v>2193</v>
      </c>
      <c r="V169" s="5" t="s">
        <v>2193</v>
      </c>
      <c r="W169" s="5" t="s">
        <v>2156</v>
      </c>
      <c r="X169" s="5" t="s">
        <v>2156</v>
      </c>
      <c r="Y169" s="4">
        <v>402</v>
      </c>
      <c r="Z169" s="4">
        <v>345</v>
      </c>
      <c r="AA169" s="4">
        <v>660</v>
      </c>
      <c r="AB169" s="4">
        <v>2</v>
      </c>
      <c r="AC169" s="4">
        <v>2</v>
      </c>
      <c r="AD169" s="4">
        <v>14</v>
      </c>
      <c r="AE169" s="4">
        <v>31</v>
      </c>
      <c r="AF169" s="4">
        <v>5</v>
      </c>
      <c r="AG169" s="4">
        <v>14</v>
      </c>
      <c r="AH169" s="4">
        <v>6</v>
      </c>
      <c r="AI169" s="4">
        <v>7</v>
      </c>
      <c r="AJ169" s="4">
        <v>6</v>
      </c>
      <c r="AK169" s="4">
        <v>18</v>
      </c>
      <c r="AL169" s="4">
        <v>1</v>
      </c>
      <c r="AM169" s="4">
        <v>1</v>
      </c>
      <c r="AN169" s="4">
        <v>0</v>
      </c>
      <c r="AO169" s="4">
        <v>0</v>
      </c>
      <c r="AP169" s="3" t="s">
        <v>58</v>
      </c>
      <c r="AQ169" s="3" t="s">
        <v>58</v>
      </c>
      <c r="AS169" s="6" t="str">
        <f>HYPERLINK("https://creighton-primo.hosted.exlibrisgroup.com/primo-explore/search?tab=default_tab&amp;search_scope=EVERYTHING&amp;vid=01CRU&amp;lang=en_US&amp;offset=0&amp;query=any,contains,991003268689702656","Catalog Record")</f>
        <v>Catalog Record</v>
      </c>
      <c r="AT169" s="6" t="str">
        <f>HYPERLINK("http://www.worldcat.org/oclc/794760","WorldCat Record")</f>
        <v>WorldCat Record</v>
      </c>
      <c r="AU169" s="3" t="s">
        <v>2194</v>
      </c>
      <c r="AV169" s="3" t="s">
        <v>2195</v>
      </c>
      <c r="AW169" s="3" t="s">
        <v>2196</v>
      </c>
      <c r="AX169" s="3" t="s">
        <v>2196</v>
      </c>
      <c r="AY169" s="3" t="s">
        <v>2197</v>
      </c>
      <c r="AZ169" s="3" t="s">
        <v>75</v>
      </c>
      <c r="BC169" s="3" t="s">
        <v>2198</v>
      </c>
      <c r="BD169" s="3" t="s">
        <v>2199</v>
      </c>
    </row>
    <row r="170" spans="1:56" ht="39" customHeight="1" x14ac:dyDescent="0.25">
      <c r="A170" s="7" t="s">
        <v>58</v>
      </c>
      <c r="B170" s="2" t="s">
        <v>2200</v>
      </c>
      <c r="C170" s="2" t="s">
        <v>2201</v>
      </c>
      <c r="D170" s="2" t="s">
        <v>2202</v>
      </c>
      <c r="F170" s="3" t="s">
        <v>58</v>
      </c>
      <c r="G170" s="3" t="s">
        <v>59</v>
      </c>
      <c r="H170" s="3" t="s">
        <v>58</v>
      </c>
      <c r="I170" s="3" t="s">
        <v>58</v>
      </c>
      <c r="J170" s="3" t="s">
        <v>60</v>
      </c>
      <c r="K170" s="2" t="s">
        <v>2203</v>
      </c>
      <c r="L170" s="2" t="s">
        <v>2204</v>
      </c>
      <c r="M170" s="3" t="s">
        <v>2205</v>
      </c>
      <c r="O170" s="3" t="s">
        <v>65</v>
      </c>
      <c r="P170" s="3" t="s">
        <v>186</v>
      </c>
      <c r="R170" s="3" t="s">
        <v>68</v>
      </c>
      <c r="S170" s="4">
        <v>4</v>
      </c>
      <c r="T170" s="4">
        <v>4</v>
      </c>
      <c r="U170" s="5" t="s">
        <v>2206</v>
      </c>
      <c r="V170" s="5" t="s">
        <v>2206</v>
      </c>
      <c r="W170" s="5" t="s">
        <v>1867</v>
      </c>
      <c r="X170" s="5" t="s">
        <v>1867</v>
      </c>
      <c r="Y170" s="4">
        <v>37</v>
      </c>
      <c r="Z170" s="4">
        <v>33</v>
      </c>
      <c r="AA170" s="4">
        <v>223</v>
      </c>
      <c r="AB170" s="4">
        <v>2</v>
      </c>
      <c r="AC170" s="4">
        <v>3</v>
      </c>
      <c r="AD170" s="4">
        <v>4</v>
      </c>
      <c r="AE170" s="4">
        <v>34</v>
      </c>
      <c r="AF170" s="4">
        <v>1</v>
      </c>
      <c r="AG170" s="4">
        <v>12</v>
      </c>
      <c r="AH170" s="4">
        <v>0</v>
      </c>
      <c r="AI170" s="4">
        <v>9</v>
      </c>
      <c r="AJ170" s="4">
        <v>3</v>
      </c>
      <c r="AK170" s="4">
        <v>25</v>
      </c>
      <c r="AL170" s="4">
        <v>0</v>
      </c>
      <c r="AM170" s="4">
        <v>1</v>
      </c>
      <c r="AN170" s="4">
        <v>0</v>
      </c>
      <c r="AO170" s="4">
        <v>0</v>
      </c>
      <c r="AP170" s="3" t="s">
        <v>132</v>
      </c>
      <c r="AQ170" s="3" t="s">
        <v>58</v>
      </c>
      <c r="AR170" s="6" t="str">
        <f>HYPERLINK("http://catalog.hathitrust.org/Record/006017274","HathiTrust Record")</f>
        <v>HathiTrust Record</v>
      </c>
      <c r="AS170" s="6" t="str">
        <f>HYPERLINK("https://creighton-primo.hosted.exlibrisgroup.com/primo-explore/search?tab=default_tab&amp;search_scope=EVERYTHING&amp;vid=01CRU&amp;lang=en_US&amp;offset=0&amp;query=any,contains,991000081539702656","Catalog Record")</f>
        <v>Catalog Record</v>
      </c>
      <c r="AT170" s="6" t="str">
        <f>HYPERLINK("http://www.worldcat.org/oclc/8841012","WorldCat Record")</f>
        <v>WorldCat Record</v>
      </c>
      <c r="AU170" s="3" t="s">
        <v>2207</v>
      </c>
      <c r="AV170" s="3" t="s">
        <v>2208</v>
      </c>
      <c r="AW170" s="3" t="s">
        <v>2209</v>
      </c>
      <c r="AX170" s="3" t="s">
        <v>2209</v>
      </c>
      <c r="AY170" s="3" t="s">
        <v>2210</v>
      </c>
      <c r="AZ170" s="3" t="s">
        <v>75</v>
      </c>
      <c r="BC170" s="3" t="s">
        <v>2211</v>
      </c>
      <c r="BD170" s="3" t="s">
        <v>2212</v>
      </c>
    </row>
    <row r="171" spans="1:56" ht="39" customHeight="1" x14ac:dyDescent="0.25">
      <c r="A171" s="7" t="s">
        <v>58</v>
      </c>
      <c r="B171" s="2" t="s">
        <v>2213</v>
      </c>
      <c r="C171" s="2" t="s">
        <v>2214</v>
      </c>
      <c r="D171" s="2" t="s">
        <v>2215</v>
      </c>
      <c r="F171" s="3" t="s">
        <v>58</v>
      </c>
      <c r="G171" s="3" t="s">
        <v>59</v>
      </c>
      <c r="H171" s="3" t="s">
        <v>58</v>
      </c>
      <c r="I171" s="3" t="s">
        <v>58</v>
      </c>
      <c r="J171" s="3" t="s">
        <v>60</v>
      </c>
      <c r="K171" s="2" t="s">
        <v>2216</v>
      </c>
      <c r="L171" s="2" t="s">
        <v>2217</v>
      </c>
      <c r="M171" s="3" t="s">
        <v>2218</v>
      </c>
      <c r="O171" s="3" t="s">
        <v>65</v>
      </c>
      <c r="P171" s="3" t="s">
        <v>954</v>
      </c>
      <c r="R171" s="3" t="s">
        <v>68</v>
      </c>
      <c r="S171" s="4">
        <v>3</v>
      </c>
      <c r="T171" s="4">
        <v>3</v>
      </c>
      <c r="U171" s="5" t="s">
        <v>2219</v>
      </c>
      <c r="V171" s="5" t="s">
        <v>2219</v>
      </c>
      <c r="W171" s="5" t="s">
        <v>1867</v>
      </c>
      <c r="X171" s="5" t="s">
        <v>1867</v>
      </c>
      <c r="Y171" s="4">
        <v>96</v>
      </c>
      <c r="Z171" s="4">
        <v>87</v>
      </c>
      <c r="AA171" s="4">
        <v>109</v>
      </c>
      <c r="AB171" s="4">
        <v>2</v>
      </c>
      <c r="AC171" s="4">
        <v>3</v>
      </c>
      <c r="AD171" s="4">
        <v>16</v>
      </c>
      <c r="AE171" s="4">
        <v>16</v>
      </c>
      <c r="AF171" s="4">
        <v>5</v>
      </c>
      <c r="AG171" s="4">
        <v>5</v>
      </c>
      <c r="AH171" s="4">
        <v>4</v>
      </c>
      <c r="AI171" s="4">
        <v>4</v>
      </c>
      <c r="AJ171" s="4">
        <v>11</v>
      </c>
      <c r="AK171" s="4">
        <v>11</v>
      </c>
      <c r="AL171" s="4">
        <v>0</v>
      </c>
      <c r="AM171" s="4">
        <v>0</v>
      </c>
      <c r="AN171" s="4">
        <v>0</v>
      </c>
      <c r="AO171" s="4">
        <v>0</v>
      </c>
      <c r="AP171" s="3" t="s">
        <v>58</v>
      </c>
      <c r="AQ171" s="3" t="s">
        <v>58</v>
      </c>
      <c r="AS171" s="6" t="str">
        <f>HYPERLINK("https://creighton-primo.hosted.exlibrisgroup.com/primo-explore/search?tab=default_tab&amp;search_scope=EVERYTHING&amp;vid=01CRU&amp;lang=en_US&amp;offset=0&amp;query=any,contains,991002554069702656","Catalog Record")</f>
        <v>Catalog Record</v>
      </c>
      <c r="AT171" s="6" t="str">
        <f>HYPERLINK("http://www.worldcat.org/oclc/370786","WorldCat Record")</f>
        <v>WorldCat Record</v>
      </c>
      <c r="AU171" s="3" t="s">
        <v>2220</v>
      </c>
      <c r="AV171" s="3" t="s">
        <v>2221</v>
      </c>
      <c r="AW171" s="3" t="s">
        <v>2222</v>
      </c>
      <c r="AX171" s="3" t="s">
        <v>2222</v>
      </c>
      <c r="AY171" s="3" t="s">
        <v>2223</v>
      </c>
      <c r="AZ171" s="3" t="s">
        <v>75</v>
      </c>
      <c r="BC171" s="3" t="s">
        <v>2224</v>
      </c>
      <c r="BD171" s="3" t="s">
        <v>2225</v>
      </c>
    </row>
    <row r="172" spans="1:56" ht="39" customHeight="1" x14ac:dyDescent="0.25">
      <c r="A172" s="7" t="s">
        <v>58</v>
      </c>
      <c r="B172" s="2" t="s">
        <v>2226</v>
      </c>
      <c r="C172" s="2" t="s">
        <v>2227</v>
      </c>
      <c r="D172" s="2" t="s">
        <v>2228</v>
      </c>
      <c r="F172" s="3" t="s">
        <v>58</v>
      </c>
      <c r="G172" s="3" t="s">
        <v>59</v>
      </c>
      <c r="H172" s="3" t="s">
        <v>58</v>
      </c>
      <c r="I172" s="3" t="s">
        <v>58</v>
      </c>
      <c r="J172" s="3" t="s">
        <v>60</v>
      </c>
      <c r="K172" s="2" t="s">
        <v>2229</v>
      </c>
      <c r="L172" s="2" t="s">
        <v>2230</v>
      </c>
      <c r="M172" s="3" t="s">
        <v>2231</v>
      </c>
      <c r="O172" s="3" t="s">
        <v>65</v>
      </c>
      <c r="P172" s="3" t="s">
        <v>954</v>
      </c>
      <c r="R172" s="3" t="s">
        <v>68</v>
      </c>
      <c r="S172" s="4">
        <v>1</v>
      </c>
      <c r="T172" s="4">
        <v>1</v>
      </c>
      <c r="U172" s="5" t="s">
        <v>2232</v>
      </c>
      <c r="V172" s="5" t="s">
        <v>2232</v>
      </c>
      <c r="W172" s="5" t="s">
        <v>1867</v>
      </c>
      <c r="X172" s="5" t="s">
        <v>1867</v>
      </c>
      <c r="Y172" s="4">
        <v>156</v>
      </c>
      <c r="Z172" s="4">
        <v>144</v>
      </c>
      <c r="AA172" s="4">
        <v>146</v>
      </c>
      <c r="AB172" s="4">
        <v>3</v>
      </c>
      <c r="AC172" s="4">
        <v>3</v>
      </c>
      <c r="AD172" s="4">
        <v>21</v>
      </c>
      <c r="AE172" s="4">
        <v>21</v>
      </c>
      <c r="AF172" s="4">
        <v>7</v>
      </c>
      <c r="AG172" s="4">
        <v>7</v>
      </c>
      <c r="AH172" s="4">
        <v>7</v>
      </c>
      <c r="AI172" s="4">
        <v>7</v>
      </c>
      <c r="AJ172" s="4">
        <v>14</v>
      </c>
      <c r="AK172" s="4">
        <v>14</v>
      </c>
      <c r="AL172" s="4">
        <v>0</v>
      </c>
      <c r="AM172" s="4">
        <v>0</v>
      </c>
      <c r="AN172" s="4">
        <v>0</v>
      </c>
      <c r="AO172" s="4">
        <v>0</v>
      </c>
      <c r="AP172" s="3" t="s">
        <v>58</v>
      </c>
      <c r="AQ172" s="3" t="s">
        <v>132</v>
      </c>
      <c r="AR172" s="6" t="str">
        <f>HYPERLINK("http://catalog.hathitrust.org/Record/008002322","HathiTrust Record")</f>
        <v>HathiTrust Record</v>
      </c>
      <c r="AS172" s="6" t="str">
        <f>HYPERLINK("https://creighton-primo.hosted.exlibrisgroup.com/primo-explore/search?tab=default_tab&amp;search_scope=EVERYTHING&amp;vid=01CRU&amp;lang=en_US&amp;offset=0&amp;query=any,contains,991003566059702656","Catalog Record")</f>
        <v>Catalog Record</v>
      </c>
      <c r="AT172" s="6" t="str">
        <f>HYPERLINK("http://www.worldcat.org/oclc/1138526","WorldCat Record")</f>
        <v>WorldCat Record</v>
      </c>
      <c r="AU172" s="3" t="s">
        <v>2233</v>
      </c>
      <c r="AV172" s="3" t="s">
        <v>2234</v>
      </c>
      <c r="AW172" s="3" t="s">
        <v>2235</v>
      </c>
      <c r="AX172" s="3" t="s">
        <v>2235</v>
      </c>
      <c r="AY172" s="3" t="s">
        <v>2236</v>
      </c>
      <c r="AZ172" s="3" t="s">
        <v>75</v>
      </c>
      <c r="BC172" s="3" t="s">
        <v>2237</v>
      </c>
      <c r="BD172" s="3" t="s">
        <v>2238</v>
      </c>
    </row>
    <row r="173" spans="1:56" ht="39" customHeight="1" x14ac:dyDescent="0.25">
      <c r="A173" s="7" t="s">
        <v>58</v>
      </c>
      <c r="B173" s="2" t="s">
        <v>2239</v>
      </c>
      <c r="C173" s="2" t="s">
        <v>2240</v>
      </c>
      <c r="D173" s="2" t="s">
        <v>2241</v>
      </c>
      <c r="F173" s="3" t="s">
        <v>58</v>
      </c>
      <c r="G173" s="3" t="s">
        <v>59</v>
      </c>
      <c r="H173" s="3" t="s">
        <v>58</v>
      </c>
      <c r="I173" s="3" t="s">
        <v>58</v>
      </c>
      <c r="J173" s="3" t="s">
        <v>60</v>
      </c>
      <c r="K173" s="2" t="s">
        <v>2242</v>
      </c>
      <c r="L173" s="2" t="s">
        <v>2243</v>
      </c>
      <c r="M173" s="3" t="s">
        <v>1449</v>
      </c>
      <c r="O173" s="3" t="s">
        <v>65</v>
      </c>
      <c r="P173" s="3" t="s">
        <v>66</v>
      </c>
      <c r="R173" s="3" t="s">
        <v>68</v>
      </c>
      <c r="S173" s="4">
        <v>4</v>
      </c>
      <c r="T173" s="4">
        <v>4</v>
      </c>
      <c r="U173" s="5" t="s">
        <v>2244</v>
      </c>
      <c r="V173" s="5" t="s">
        <v>2244</v>
      </c>
      <c r="W173" s="5" t="s">
        <v>1867</v>
      </c>
      <c r="X173" s="5" t="s">
        <v>1867</v>
      </c>
      <c r="Y173" s="4">
        <v>79</v>
      </c>
      <c r="Z173" s="4">
        <v>59</v>
      </c>
      <c r="AA173" s="4">
        <v>182</v>
      </c>
      <c r="AB173" s="4">
        <v>1</v>
      </c>
      <c r="AC173" s="4">
        <v>3</v>
      </c>
      <c r="AD173" s="4">
        <v>8</v>
      </c>
      <c r="AE173" s="4">
        <v>24</v>
      </c>
      <c r="AF173" s="4">
        <v>3</v>
      </c>
      <c r="AG173" s="4">
        <v>6</v>
      </c>
      <c r="AH173" s="4">
        <v>2</v>
      </c>
      <c r="AI173" s="4">
        <v>7</v>
      </c>
      <c r="AJ173" s="4">
        <v>6</v>
      </c>
      <c r="AK173" s="4">
        <v>19</v>
      </c>
      <c r="AL173" s="4">
        <v>0</v>
      </c>
      <c r="AM173" s="4">
        <v>0</v>
      </c>
      <c r="AN173" s="4">
        <v>0</v>
      </c>
      <c r="AO173" s="4">
        <v>0</v>
      </c>
      <c r="AP173" s="3" t="s">
        <v>58</v>
      </c>
      <c r="AQ173" s="3" t="s">
        <v>58</v>
      </c>
      <c r="AS173" s="6" t="str">
        <f>HYPERLINK("https://creighton-primo.hosted.exlibrisgroup.com/primo-explore/search?tab=default_tab&amp;search_scope=EVERYTHING&amp;vid=01CRU&amp;lang=en_US&amp;offset=0&amp;query=any,contains,991003844219702656","Catalog Record")</f>
        <v>Catalog Record</v>
      </c>
      <c r="AT173" s="6" t="str">
        <f>HYPERLINK("http://www.worldcat.org/oclc/1624531","WorldCat Record")</f>
        <v>WorldCat Record</v>
      </c>
      <c r="AU173" s="3" t="s">
        <v>2245</v>
      </c>
      <c r="AV173" s="3" t="s">
        <v>2246</v>
      </c>
      <c r="AW173" s="3" t="s">
        <v>2247</v>
      </c>
      <c r="AX173" s="3" t="s">
        <v>2247</v>
      </c>
      <c r="AY173" s="3" t="s">
        <v>2248</v>
      </c>
      <c r="AZ173" s="3" t="s">
        <v>75</v>
      </c>
      <c r="BC173" s="3" t="s">
        <v>2249</v>
      </c>
      <c r="BD173" s="3" t="s">
        <v>2250</v>
      </c>
    </row>
    <row r="174" spans="1:56" ht="39" customHeight="1" x14ac:dyDescent="0.25">
      <c r="A174" s="7" t="s">
        <v>58</v>
      </c>
      <c r="B174" s="2" t="s">
        <v>2251</v>
      </c>
      <c r="C174" s="2" t="s">
        <v>2252</v>
      </c>
      <c r="D174" s="2" t="s">
        <v>2253</v>
      </c>
      <c r="F174" s="3" t="s">
        <v>58</v>
      </c>
      <c r="G174" s="3" t="s">
        <v>59</v>
      </c>
      <c r="H174" s="3" t="s">
        <v>58</v>
      </c>
      <c r="I174" s="3" t="s">
        <v>58</v>
      </c>
      <c r="J174" s="3" t="s">
        <v>60</v>
      </c>
      <c r="K174" s="2" t="s">
        <v>2254</v>
      </c>
      <c r="L174" s="2" t="s">
        <v>2255</v>
      </c>
      <c r="M174" s="3" t="s">
        <v>172</v>
      </c>
      <c r="O174" s="3" t="s">
        <v>65</v>
      </c>
      <c r="P174" s="3" t="s">
        <v>954</v>
      </c>
      <c r="R174" s="3" t="s">
        <v>68</v>
      </c>
      <c r="S174" s="4">
        <v>5</v>
      </c>
      <c r="T174" s="4">
        <v>5</v>
      </c>
      <c r="U174" s="5" t="s">
        <v>2256</v>
      </c>
      <c r="V174" s="5" t="s">
        <v>2256</v>
      </c>
      <c r="W174" s="5" t="s">
        <v>1867</v>
      </c>
      <c r="X174" s="5" t="s">
        <v>1867</v>
      </c>
      <c r="Y174" s="4">
        <v>62</v>
      </c>
      <c r="Z174" s="4">
        <v>52</v>
      </c>
      <c r="AA174" s="4">
        <v>52</v>
      </c>
      <c r="AB174" s="4">
        <v>1</v>
      </c>
      <c r="AC174" s="4">
        <v>1</v>
      </c>
      <c r="AD174" s="4">
        <v>9</v>
      </c>
      <c r="AE174" s="4">
        <v>9</v>
      </c>
      <c r="AF174" s="4">
        <v>1</v>
      </c>
      <c r="AG174" s="4">
        <v>1</v>
      </c>
      <c r="AH174" s="4">
        <v>3</v>
      </c>
      <c r="AI174" s="4">
        <v>3</v>
      </c>
      <c r="AJ174" s="4">
        <v>6</v>
      </c>
      <c r="AK174" s="4">
        <v>6</v>
      </c>
      <c r="AL174" s="4">
        <v>0</v>
      </c>
      <c r="AM174" s="4">
        <v>0</v>
      </c>
      <c r="AN174" s="4">
        <v>0</v>
      </c>
      <c r="AO174" s="4">
        <v>0</v>
      </c>
      <c r="AP174" s="3" t="s">
        <v>58</v>
      </c>
      <c r="AQ174" s="3" t="s">
        <v>58</v>
      </c>
      <c r="AS174" s="6" t="str">
        <f>HYPERLINK("https://creighton-primo.hosted.exlibrisgroup.com/primo-explore/search?tab=default_tab&amp;search_scope=EVERYTHING&amp;vid=01CRU&amp;lang=en_US&amp;offset=0&amp;query=any,contains,991003614519702656","Catalog Record")</f>
        <v>Catalog Record</v>
      </c>
      <c r="AT174" s="6" t="str">
        <f>HYPERLINK("http://www.worldcat.org/oclc/1197485","WorldCat Record")</f>
        <v>WorldCat Record</v>
      </c>
      <c r="AU174" s="3" t="s">
        <v>2257</v>
      </c>
      <c r="AV174" s="3" t="s">
        <v>2258</v>
      </c>
      <c r="AW174" s="3" t="s">
        <v>2259</v>
      </c>
      <c r="AX174" s="3" t="s">
        <v>2259</v>
      </c>
      <c r="AY174" s="3" t="s">
        <v>2260</v>
      </c>
      <c r="AZ174" s="3" t="s">
        <v>75</v>
      </c>
      <c r="BC174" s="3" t="s">
        <v>2261</v>
      </c>
      <c r="BD174" s="3" t="s">
        <v>2262</v>
      </c>
    </row>
    <row r="175" spans="1:56" ht="39" customHeight="1" x14ac:dyDescent="0.25">
      <c r="A175" s="7" t="s">
        <v>58</v>
      </c>
      <c r="B175" s="2" t="s">
        <v>2263</v>
      </c>
      <c r="C175" s="2" t="s">
        <v>2264</v>
      </c>
      <c r="D175" s="2" t="s">
        <v>2265</v>
      </c>
      <c r="F175" s="3" t="s">
        <v>58</v>
      </c>
      <c r="G175" s="3" t="s">
        <v>59</v>
      </c>
      <c r="H175" s="3" t="s">
        <v>58</v>
      </c>
      <c r="I175" s="3" t="s">
        <v>58</v>
      </c>
      <c r="J175" s="3" t="s">
        <v>60</v>
      </c>
      <c r="K175" s="2" t="s">
        <v>2266</v>
      </c>
      <c r="L175" s="2" t="s">
        <v>2267</v>
      </c>
      <c r="M175" s="3" t="s">
        <v>1371</v>
      </c>
      <c r="O175" s="3" t="s">
        <v>65</v>
      </c>
      <c r="P175" s="3" t="s">
        <v>954</v>
      </c>
      <c r="R175" s="3" t="s">
        <v>68</v>
      </c>
      <c r="S175" s="4">
        <v>9</v>
      </c>
      <c r="T175" s="4">
        <v>9</v>
      </c>
      <c r="U175" s="5" t="s">
        <v>2268</v>
      </c>
      <c r="V175" s="5" t="s">
        <v>2268</v>
      </c>
      <c r="W175" s="5" t="s">
        <v>1867</v>
      </c>
      <c r="X175" s="5" t="s">
        <v>1867</v>
      </c>
      <c r="Y175" s="4">
        <v>68</v>
      </c>
      <c r="Z175" s="4">
        <v>63</v>
      </c>
      <c r="AA175" s="4">
        <v>157</v>
      </c>
      <c r="AB175" s="4">
        <v>2</v>
      </c>
      <c r="AC175" s="4">
        <v>3</v>
      </c>
      <c r="AD175" s="4">
        <v>12</v>
      </c>
      <c r="AE175" s="4">
        <v>27</v>
      </c>
      <c r="AF175" s="4">
        <v>4</v>
      </c>
      <c r="AG175" s="4">
        <v>10</v>
      </c>
      <c r="AH175" s="4">
        <v>2</v>
      </c>
      <c r="AI175" s="4">
        <v>4</v>
      </c>
      <c r="AJ175" s="4">
        <v>11</v>
      </c>
      <c r="AK175" s="4">
        <v>23</v>
      </c>
      <c r="AL175" s="4">
        <v>0</v>
      </c>
      <c r="AM175" s="4">
        <v>0</v>
      </c>
      <c r="AN175" s="4">
        <v>0</v>
      </c>
      <c r="AO175" s="4">
        <v>0</v>
      </c>
      <c r="AP175" s="3" t="s">
        <v>58</v>
      </c>
      <c r="AQ175" s="3" t="s">
        <v>58</v>
      </c>
      <c r="AS175" s="6" t="str">
        <f>HYPERLINK("https://creighton-primo.hosted.exlibrisgroup.com/primo-explore/search?tab=default_tab&amp;search_scope=EVERYTHING&amp;vid=01CRU&amp;lang=en_US&amp;offset=0&amp;query=any,contains,991003422339702656","Catalog Record")</f>
        <v>Catalog Record</v>
      </c>
      <c r="AT175" s="6" t="str">
        <f>HYPERLINK("http://www.worldcat.org/oclc/963095","WorldCat Record")</f>
        <v>WorldCat Record</v>
      </c>
      <c r="AU175" s="3" t="s">
        <v>2269</v>
      </c>
      <c r="AV175" s="3" t="s">
        <v>2270</v>
      </c>
      <c r="AW175" s="3" t="s">
        <v>2271</v>
      </c>
      <c r="AX175" s="3" t="s">
        <v>2271</v>
      </c>
      <c r="AY175" s="3" t="s">
        <v>2272</v>
      </c>
      <c r="AZ175" s="3" t="s">
        <v>75</v>
      </c>
      <c r="BC175" s="3" t="s">
        <v>2273</v>
      </c>
      <c r="BD175" s="3" t="s">
        <v>2274</v>
      </c>
    </row>
    <row r="176" spans="1:56" ht="39" customHeight="1" x14ac:dyDescent="0.25">
      <c r="A176" s="7" t="s">
        <v>58</v>
      </c>
      <c r="B176" s="2" t="s">
        <v>2275</v>
      </c>
      <c r="C176" s="2" t="s">
        <v>2276</v>
      </c>
      <c r="D176" s="2" t="s">
        <v>2277</v>
      </c>
      <c r="F176" s="3" t="s">
        <v>58</v>
      </c>
      <c r="G176" s="3" t="s">
        <v>59</v>
      </c>
      <c r="H176" s="3" t="s">
        <v>58</v>
      </c>
      <c r="I176" s="3" t="s">
        <v>58</v>
      </c>
      <c r="J176" s="3" t="s">
        <v>60</v>
      </c>
      <c r="K176" s="2" t="s">
        <v>2278</v>
      </c>
      <c r="L176" s="2" t="s">
        <v>2279</v>
      </c>
      <c r="M176" s="3" t="s">
        <v>415</v>
      </c>
      <c r="O176" s="3" t="s">
        <v>65</v>
      </c>
      <c r="P176" s="3" t="s">
        <v>967</v>
      </c>
      <c r="R176" s="3" t="s">
        <v>68</v>
      </c>
      <c r="S176" s="4">
        <v>5</v>
      </c>
      <c r="T176" s="4">
        <v>5</v>
      </c>
      <c r="U176" s="5" t="s">
        <v>2155</v>
      </c>
      <c r="V176" s="5" t="s">
        <v>2155</v>
      </c>
      <c r="W176" s="5" t="s">
        <v>1867</v>
      </c>
      <c r="X176" s="5" t="s">
        <v>1867</v>
      </c>
      <c r="Y176" s="4">
        <v>228</v>
      </c>
      <c r="Z176" s="4">
        <v>213</v>
      </c>
      <c r="AA176" s="4">
        <v>248</v>
      </c>
      <c r="AB176" s="4">
        <v>3</v>
      </c>
      <c r="AC176" s="4">
        <v>3</v>
      </c>
      <c r="AD176" s="4">
        <v>15</v>
      </c>
      <c r="AE176" s="4">
        <v>16</v>
      </c>
      <c r="AF176" s="4">
        <v>3</v>
      </c>
      <c r="AG176" s="4">
        <v>4</v>
      </c>
      <c r="AH176" s="4">
        <v>3</v>
      </c>
      <c r="AI176" s="4">
        <v>3</v>
      </c>
      <c r="AJ176" s="4">
        <v>11</v>
      </c>
      <c r="AK176" s="4">
        <v>11</v>
      </c>
      <c r="AL176" s="4">
        <v>0</v>
      </c>
      <c r="AM176" s="4">
        <v>0</v>
      </c>
      <c r="AN176" s="4">
        <v>0</v>
      </c>
      <c r="AO176" s="4">
        <v>0</v>
      </c>
      <c r="AP176" s="3" t="s">
        <v>58</v>
      </c>
      <c r="AQ176" s="3" t="s">
        <v>132</v>
      </c>
      <c r="AR176" s="6" t="str">
        <f>HYPERLINK("http://catalog.hathitrust.org/Record/006017179","HathiTrust Record")</f>
        <v>HathiTrust Record</v>
      </c>
      <c r="AS176" s="6" t="str">
        <f>HYPERLINK("https://creighton-primo.hosted.exlibrisgroup.com/primo-explore/search?tab=default_tab&amp;search_scope=EVERYTHING&amp;vid=01CRU&amp;lang=en_US&amp;offset=0&amp;query=any,contains,991001161189702656","Catalog Record")</f>
        <v>Catalog Record</v>
      </c>
      <c r="AT176" s="6" t="str">
        <f>HYPERLINK("http://www.worldcat.org/oclc/186395","WorldCat Record")</f>
        <v>WorldCat Record</v>
      </c>
      <c r="AU176" s="3" t="s">
        <v>2280</v>
      </c>
      <c r="AV176" s="3" t="s">
        <v>2281</v>
      </c>
      <c r="AW176" s="3" t="s">
        <v>2282</v>
      </c>
      <c r="AX176" s="3" t="s">
        <v>2282</v>
      </c>
      <c r="AY176" s="3" t="s">
        <v>2283</v>
      </c>
      <c r="AZ176" s="3" t="s">
        <v>75</v>
      </c>
      <c r="BC176" s="3" t="s">
        <v>2284</v>
      </c>
      <c r="BD176" s="3" t="s">
        <v>2285</v>
      </c>
    </row>
    <row r="177" spans="1:56" ht="39" customHeight="1" x14ac:dyDescent="0.25">
      <c r="A177" s="7" t="s">
        <v>58</v>
      </c>
      <c r="B177" s="2" t="s">
        <v>2286</v>
      </c>
      <c r="C177" s="2" t="s">
        <v>2287</v>
      </c>
      <c r="D177" s="2" t="s">
        <v>2288</v>
      </c>
      <c r="F177" s="3" t="s">
        <v>58</v>
      </c>
      <c r="G177" s="3" t="s">
        <v>59</v>
      </c>
      <c r="H177" s="3" t="s">
        <v>58</v>
      </c>
      <c r="I177" s="3" t="s">
        <v>58</v>
      </c>
      <c r="J177" s="3" t="s">
        <v>60</v>
      </c>
      <c r="K177" s="2" t="s">
        <v>2289</v>
      </c>
      <c r="L177" s="2" t="s">
        <v>1607</v>
      </c>
      <c r="M177" s="3" t="s">
        <v>303</v>
      </c>
      <c r="O177" s="3" t="s">
        <v>65</v>
      </c>
      <c r="P177" s="3" t="s">
        <v>186</v>
      </c>
      <c r="R177" s="3" t="s">
        <v>68</v>
      </c>
      <c r="S177" s="4">
        <v>1</v>
      </c>
      <c r="T177" s="4">
        <v>1</v>
      </c>
      <c r="U177" s="5" t="s">
        <v>2290</v>
      </c>
      <c r="V177" s="5" t="s">
        <v>2290</v>
      </c>
      <c r="W177" s="5" t="s">
        <v>1867</v>
      </c>
      <c r="X177" s="5" t="s">
        <v>1867</v>
      </c>
      <c r="Y177" s="4">
        <v>222</v>
      </c>
      <c r="Z177" s="4">
        <v>200</v>
      </c>
      <c r="AA177" s="4">
        <v>207</v>
      </c>
      <c r="AB177" s="4">
        <v>3</v>
      </c>
      <c r="AC177" s="4">
        <v>3</v>
      </c>
      <c r="AD177" s="4">
        <v>22</v>
      </c>
      <c r="AE177" s="4">
        <v>22</v>
      </c>
      <c r="AF177" s="4">
        <v>3</v>
      </c>
      <c r="AG177" s="4">
        <v>3</v>
      </c>
      <c r="AH177" s="4">
        <v>7</v>
      </c>
      <c r="AI177" s="4">
        <v>7</v>
      </c>
      <c r="AJ177" s="4">
        <v>16</v>
      </c>
      <c r="AK177" s="4">
        <v>16</v>
      </c>
      <c r="AL177" s="4">
        <v>1</v>
      </c>
      <c r="AM177" s="4">
        <v>1</v>
      </c>
      <c r="AN177" s="4">
        <v>0</v>
      </c>
      <c r="AO177" s="4">
        <v>0</v>
      </c>
      <c r="AP177" s="3" t="s">
        <v>58</v>
      </c>
      <c r="AQ177" s="3" t="s">
        <v>58</v>
      </c>
      <c r="AS177" s="6" t="str">
        <f>HYPERLINK("https://creighton-primo.hosted.exlibrisgroup.com/primo-explore/search?tab=default_tab&amp;search_scope=EVERYTHING&amp;vid=01CRU&amp;lang=en_US&amp;offset=0&amp;query=any,contains,991004018819702656","Catalog Record")</f>
        <v>Catalog Record</v>
      </c>
      <c r="AT177" s="6" t="str">
        <f>HYPERLINK("http://www.worldcat.org/oclc/2119363","WorldCat Record")</f>
        <v>WorldCat Record</v>
      </c>
      <c r="AU177" s="3" t="s">
        <v>2291</v>
      </c>
      <c r="AV177" s="3" t="s">
        <v>2292</v>
      </c>
      <c r="AW177" s="3" t="s">
        <v>2293</v>
      </c>
      <c r="AX177" s="3" t="s">
        <v>2293</v>
      </c>
      <c r="AY177" s="3" t="s">
        <v>2294</v>
      </c>
      <c r="AZ177" s="3" t="s">
        <v>75</v>
      </c>
      <c r="BB177" s="3" t="s">
        <v>2295</v>
      </c>
      <c r="BC177" s="3" t="s">
        <v>2296</v>
      </c>
      <c r="BD177" s="3" t="s">
        <v>2297</v>
      </c>
    </row>
    <row r="178" spans="1:56" ht="39" customHeight="1" x14ac:dyDescent="0.25">
      <c r="A178" s="7" t="s">
        <v>58</v>
      </c>
      <c r="B178" s="2" t="s">
        <v>2298</v>
      </c>
      <c r="C178" s="2" t="s">
        <v>2299</v>
      </c>
      <c r="D178" s="2" t="s">
        <v>2300</v>
      </c>
      <c r="F178" s="3" t="s">
        <v>58</v>
      </c>
      <c r="G178" s="3" t="s">
        <v>59</v>
      </c>
      <c r="H178" s="3" t="s">
        <v>58</v>
      </c>
      <c r="I178" s="3" t="s">
        <v>58</v>
      </c>
      <c r="J178" s="3" t="s">
        <v>60</v>
      </c>
      <c r="K178" s="2" t="s">
        <v>2301</v>
      </c>
      <c r="L178" s="2" t="s">
        <v>2302</v>
      </c>
      <c r="M178" s="3" t="s">
        <v>361</v>
      </c>
      <c r="O178" s="3" t="s">
        <v>65</v>
      </c>
      <c r="P178" s="3" t="s">
        <v>2303</v>
      </c>
      <c r="Q178" s="2" t="s">
        <v>2304</v>
      </c>
      <c r="R178" s="3" t="s">
        <v>68</v>
      </c>
      <c r="S178" s="4">
        <v>8</v>
      </c>
      <c r="T178" s="4">
        <v>8</v>
      </c>
      <c r="U178" s="5" t="s">
        <v>2155</v>
      </c>
      <c r="V178" s="5" t="s">
        <v>2155</v>
      </c>
      <c r="W178" s="5" t="s">
        <v>2305</v>
      </c>
      <c r="X178" s="5" t="s">
        <v>2305</v>
      </c>
      <c r="Y178" s="4">
        <v>73</v>
      </c>
      <c r="Z178" s="4">
        <v>68</v>
      </c>
      <c r="AA178" s="4">
        <v>103</v>
      </c>
      <c r="AB178" s="4">
        <v>2</v>
      </c>
      <c r="AC178" s="4">
        <v>2</v>
      </c>
      <c r="AD178" s="4">
        <v>9</v>
      </c>
      <c r="AE178" s="4">
        <v>12</v>
      </c>
      <c r="AF178" s="4">
        <v>2</v>
      </c>
      <c r="AG178" s="4">
        <v>2</v>
      </c>
      <c r="AH178" s="4">
        <v>4</v>
      </c>
      <c r="AI178" s="4">
        <v>4</v>
      </c>
      <c r="AJ178" s="4">
        <v>6</v>
      </c>
      <c r="AK178" s="4">
        <v>9</v>
      </c>
      <c r="AL178" s="4">
        <v>0</v>
      </c>
      <c r="AM178" s="4">
        <v>0</v>
      </c>
      <c r="AN178" s="4">
        <v>0</v>
      </c>
      <c r="AO178" s="4">
        <v>0</v>
      </c>
      <c r="AP178" s="3" t="s">
        <v>58</v>
      </c>
      <c r="AQ178" s="3" t="s">
        <v>132</v>
      </c>
      <c r="AR178" s="6" t="str">
        <f>HYPERLINK("http://catalog.hathitrust.org/Record/102575952","HathiTrust Record")</f>
        <v>HathiTrust Record</v>
      </c>
      <c r="AS178" s="6" t="str">
        <f>HYPERLINK("https://creighton-primo.hosted.exlibrisgroup.com/primo-explore/search?tab=default_tab&amp;search_scope=EVERYTHING&amp;vid=01CRU&amp;lang=en_US&amp;offset=0&amp;query=any,contains,991000325339702656","Catalog Record")</f>
        <v>Catalog Record</v>
      </c>
      <c r="AT178" s="6" t="str">
        <f>HYPERLINK("http://www.worldcat.org/oclc/10165264","WorldCat Record")</f>
        <v>WorldCat Record</v>
      </c>
      <c r="AU178" s="3" t="s">
        <v>2306</v>
      </c>
      <c r="AV178" s="3" t="s">
        <v>2307</v>
      </c>
      <c r="AW178" s="3" t="s">
        <v>2308</v>
      </c>
      <c r="AX178" s="3" t="s">
        <v>2308</v>
      </c>
      <c r="AY178" s="3" t="s">
        <v>2309</v>
      </c>
      <c r="AZ178" s="3" t="s">
        <v>75</v>
      </c>
      <c r="BB178" s="3" t="s">
        <v>2310</v>
      </c>
      <c r="BC178" s="3" t="s">
        <v>2311</v>
      </c>
      <c r="BD178" s="3" t="s">
        <v>2312</v>
      </c>
    </row>
    <row r="179" spans="1:56" ht="39" customHeight="1" x14ac:dyDescent="0.25">
      <c r="A179" s="7" t="s">
        <v>58</v>
      </c>
      <c r="B179" s="2" t="s">
        <v>2313</v>
      </c>
      <c r="C179" s="2" t="s">
        <v>2314</v>
      </c>
      <c r="D179" s="2" t="s">
        <v>2315</v>
      </c>
      <c r="F179" s="3" t="s">
        <v>58</v>
      </c>
      <c r="G179" s="3" t="s">
        <v>59</v>
      </c>
      <c r="H179" s="3" t="s">
        <v>58</v>
      </c>
      <c r="I179" s="3" t="s">
        <v>58</v>
      </c>
      <c r="J179" s="3" t="s">
        <v>60</v>
      </c>
      <c r="K179" s="2" t="s">
        <v>2316</v>
      </c>
      <c r="L179" s="2" t="s">
        <v>2317</v>
      </c>
      <c r="M179" s="3" t="s">
        <v>1621</v>
      </c>
      <c r="O179" s="3" t="s">
        <v>65</v>
      </c>
      <c r="P179" s="3" t="s">
        <v>304</v>
      </c>
      <c r="Q179" s="2" t="s">
        <v>2318</v>
      </c>
      <c r="R179" s="3" t="s">
        <v>68</v>
      </c>
      <c r="S179" s="4">
        <v>1</v>
      </c>
      <c r="T179" s="4">
        <v>1</v>
      </c>
      <c r="U179" s="5" t="s">
        <v>2319</v>
      </c>
      <c r="V179" s="5" t="s">
        <v>2319</v>
      </c>
      <c r="W179" s="5" t="s">
        <v>1867</v>
      </c>
      <c r="X179" s="5" t="s">
        <v>1867</v>
      </c>
      <c r="Y179" s="4">
        <v>62</v>
      </c>
      <c r="Z179" s="4">
        <v>54</v>
      </c>
      <c r="AA179" s="4">
        <v>59</v>
      </c>
      <c r="AB179" s="4">
        <v>2</v>
      </c>
      <c r="AC179" s="4">
        <v>2</v>
      </c>
      <c r="AD179" s="4">
        <v>8</v>
      </c>
      <c r="AE179" s="4">
        <v>8</v>
      </c>
      <c r="AF179" s="4">
        <v>1</v>
      </c>
      <c r="AG179" s="4">
        <v>1</v>
      </c>
      <c r="AH179" s="4">
        <v>2</v>
      </c>
      <c r="AI179" s="4">
        <v>2</v>
      </c>
      <c r="AJ179" s="4">
        <v>7</v>
      </c>
      <c r="AK179" s="4">
        <v>7</v>
      </c>
      <c r="AL179" s="4">
        <v>0</v>
      </c>
      <c r="AM179" s="4">
        <v>0</v>
      </c>
      <c r="AN179" s="4">
        <v>0</v>
      </c>
      <c r="AO179" s="4">
        <v>0</v>
      </c>
      <c r="AP179" s="3" t="s">
        <v>58</v>
      </c>
      <c r="AQ179" s="3" t="s">
        <v>58</v>
      </c>
      <c r="AS179" s="6" t="str">
        <f>HYPERLINK("https://creighton-primo.hosted.exlibrisgroup.com/primo-explore/search?tab=default_tab&amp;search_scope=EVERYTHING&amp;vid=01CRU&amp;lang=en_US&amp;offset=0&amp;query=any,contains,991003476529702656","Catalog Record")</f>
        <v>Catalog Record</v>
      </c>
      <c r="AT179" s="6" t="str">
        <f>HYPERLINK("http://www.worldcat.org/oclc/1021481","WorldCat Record")</f>
        <v>WorldCat Record</v>
      </c>
      <c r="AU179" s="3" t="s">
        <v>2320</v>
      </c>
      <c r="AV179" s="3" t="s">
        <v>2321</v>
      </c>
      <c r="AW179" s="3" t="s">
        <v>2322</v>
      </c>
      <c r="AX179" s="3" t="s">
        <v>2322</v>
      </c>
      <c r="AY179" s="3" t="s">
        <v>2323</v>
      </c>
      <c r="AZ179" s="3" t="s">
        <v>75</v>
      </c>
      <c r="BB179" s="3" t="s">
        <v>2324</v>
      </c>
      <c r="BC179" s="3" t="s">
        <v>2325</v>
      </c>
      <c r="BD179" s="3" t="s">
        <v>2326</v>
      </c>
    </row>
    <row r="180" spans="1:56" ht="39" customHeight="1" x14ac:dyDescent="0.25">
      <c r="A180" s="7" t="s">
        <v>58</v>
      </c>
      <c r="B180" s="2" t="s">
        <v>2327</v>
      </c>
      <c r="C180" s="2" t="s">
        <v>2328</v>
      </c>
      <c r="D180" s="2" t="s">
        <v>2329</v>
      </c>
      <c r="F180" s="3" t="s">
        <v>58</v>
      </c>
      <c r="G180" s="3" t="s">
        <v>59</v>
      </c>
      <c r="H180" s="3" t="s">
        <v>58</v>
      </c>
      <c r="I180" s="3" t="s">
        <v>58</v>
      </c>
      <c r="J180" s="3" t="s">
        <v>60</v>
      </c>
      <c r="K180" s="2" t="s">
        <v>2330</v>
      </c>
      <c r="L180" s="2" t="s">
        <v>2331</v>
      </c>
      <c r="M180" s="3" t="s">
        <v>462</v>
      </c>
      <c r="O180" s="3" t="s">
        <v>65</v>
      </c>
      <c r="P180" s="3" t="s">
        <v>186</v>
      </c>
      <c r="R180" s="3" t="s">
        <v>68</v>
      </c>
      <c r="S180" s="4">
        <v>7</v>
      </c>
      <c r="T180" s="4">
        <v>7</v>
      </c>
      <c r="U180" s="5" t="s">
        <v>2256</v>
      </c>
      <c r="V180" s="5" t="s">
        <v>2256</v>
      </c>
      <c r="W180" s="5" t="s">
        <v>1867</v>
      </c>
      <c r="X180" s="5" t="s">
        <v>1867</v>
      </c>
      <c r="Y180" s="4">
        <v>115</v>
      </c>
      <c r="Z180" s="4">
        <v>104</v>
      </c>
      <c r="AA180" s="4">
        <v>109</v>
      </c>
      <c r="AB180" s="4">
        <v>2</v>
      </c>
      <c r="AC180" s="4">
        <v>2</v>
      </c>
      <c r="AD180" s="4">
        <v>8</v>
      </c>
      <c r="AE180" s="4">
        <v>8</v>
      </c>
      <c r="AF180" s="4">
        <v>1</v>
      </c>
      <c r="AG180" s="4">
        <v>1</v>
      </c>
      <c r="AH180" s="4">
        <v>2</v>
      </c>
      <c r="AI180" s="4">
        <v>2</v>
      </c>
      <c r="AJ180" s="4">
        <v>6</v>
      </c>
      <c r="AK180" s="4">
        <v>6</v>
      </c>
      <c r="AL180" s="4">
        <v>0</v>
      </c>
      <c r="AM180" s="4">
        <v>0</v>
      </c>
      <c r="AN180" s="4">
        <v>0</v>
      </c>
      <c r="AO180" s="4">
        <v>0</v>
      </c>
      <c r="AP180" s="3" t="s">
        <v>58</v>
      </c>
      <c r="AQ180" s="3" t="s">
        <v>58</v>
      </c>
      <c r="AS180" s="6" t="str">
        <f>HYPERLINK("https://creighton-primo.hosted.exlibrisgroup.com/primo-explore/search?tab=default_tab&amp;search_scope=EVERYTHING&amp;vid=01CRU&amp;lang=en_US&amp;offset=0&amp;query=any,contains,991000598149702656","Catalog Record")</f>
        <v>Catalog Record</v>
      </c>
      <c r="AT180" s="6" t="str">
        <f>HYPERLINK("http://www.worldcat.org/oclc/11815569","WorldCat Record")</f>
        <v>WorldCat Record</v>
      </c>
      <c r="AU180" s="3" t="s">
        <v>2332</v>
      </c>
      <c r="AV180" s="3" t="s">
        <v>2333</v>
      </c>
      <c r="AW180" s="3" t="s">
        <v>2334</v>
      </c>
      <c r="AX180" s="3" t="s">
        <v>2334</v>
      </c>
      <c r="AY180" s="3" t="s">
        <v>2335</v>
      </c>
      <c r="AZ180" s="3" t="s">
        <v>75</v>
      </c>
      <c r="BB180" s="3" t="s">
        <v>2336</v>
      </c>
      <c r="BC180" s="3" t="s">
        <v>2337</v>
      </c>
      <c r="BD180" s="3" t="s">
        <v>2338</v>
      </c>
    </row>
    <row r="181" spans="1:56" ht="39" customHeight="1" x14ac:dyDescent="0.25">
      <c r="A181" s="7" t="s">
        <v>58</v>
      </c>
      <c r="B181" s="2" t="s">
        <v>2339</v>
      </c>
      <c r="C181" s="2" t="s">
        <v>2340</v>
      </c>
      <c r="D181" s="2" t="s">
        <v>2341</v>
      </c>
      <c r="F181" s="3" t="s">
        <v>58</v>
      </c>
      <c r="G181" s="3" t="s">
        <v>59</v>
      </c>
      <c r="H181" s="3" t="s">
        <v>58</v>
      </c>
      <c r="I181" s="3" t="s">
        <v>58</v>
      </c>
      <c r="J181" s="3" t="s">
        <v>60</v>
      </c>
      <c r="K181" s="2" t="s">
        <v>2342</v>
      </c>
      <c r="L181" s="2" t="s">
        <v>2343</v>
      </c>
      <c r="M181" s="3" t="s">
        <v>1723</v>
      </c>
      <c r="O181" s="3" t="s">
        <v>65</v>
      </c>
      <c r="P181" s="3" t="s">
        <v>186</v>
      </c>
      <c r="R181" s="3" t="s">
        <v>68</v>
      </c>
      <c r="S181" s="4">
        <v>6</v>
      </c>
      <c r="T181" s="4">
        <v>6</v>
      </c>
      <c r="U181" s="5" t="s">
        <v>2344</v>
      </c>
      <c r="V181" s="5" t="s">
        <v>2344</v>
      </c>
      <c r="W181" s="5" t="s">
        <v>2345</v>
      </c>
      <c r="X181" s="5" t="s">
        <v>2345</v>
      </c>
      <c r="Y181" s="4">
        <v>82</v>
      </c>
      <c r="Z181" s="4">
        <v>74</v>
      </c>
      <c r="AA181" s="4">
        <v>94</v>
      </c>
      <c r="AB181" s="4">
        <v>1</v>
      </c>
      <c r="AC181" s="4">
        <v>2</v>
      </c>
      <c r="AD181" s="4">
        <v>5</v>
      </c>
      <c r="AE181" s="4">
        <v>7</v>
      </c>
      <c r="AF181" s="4">
        <v>1</v>
      </c>
      <c r="AG181" s="4">
        <v>2</v>
      </c>
      <c r="AH181" s="4">
        <v>2</v>
      </c>
      <c r="AI181" s="4">
        <v>3</v>
      </c>
      <c r="AJ181" s="4">
        <v>2</v>
      </c>
      <c r="AK181" s="4">
        <v>2</v>
      </c>
      <c r="AL181" s="4">
        <v>0</v>
      </c>
      <c r="AM181" s="4">
        <v>1</v>
      </c>
      <c r="AN181" s="4">
        <v>0</v>
      </c>
      <c r="AO181" s="4">
        <v>0</v>
      </c>
      <c r="AP181" s="3" t="s">
        <v>58</v>
      </c>
      <c r="AQ181" s="3" t="s">
        <v>58</v>
      </c>
      <c r="AS181" s="6" t="str">
        <f>HYPERLINK("https://creighton-primo.hosted.exlibrisgroup.com/primo-explore/search?tab=default_tab&amp;search_scope=EVERYTHING&amp;vid=01CRU&amp;lang=en_US&amp;offset=0&amp;query=any,contains,991003530969702656","Catalog Record")</f>
        <v>Catalog Record</v>
      </c>
      <c r="AT181" s="6" t="str">
        <f>HYPERLINK("http://www.worldcat.org/oclc/44650829","WorldCat Record")</f>
        <v>WorldCat Record</v>
      </c>
      <c r="AU181" s="3" t="s">
        <v>2346</v>
      </c>
      <c r="AV181" s="3" t="s">
        <v>2347</v>
      </c>
      <c r="AW181" s="3" t="s">
        <v>2348</v>
      </c>
      <c r="AX181" s="3" t="s">
        <v>2348</v>
      </c>
      <c r="AY181" s="3" t="s">
        <v>2349</v>
      </c>
      <c r="AZ181" s="3" t="s">
        <v>75</v>
      </c>
      <c r="BB181" s="3" t="s">
        <v>2350</v>
      </c>
      <c r="BC181" s="3" t="s">
        <v>2351</v>
      </c>
      <c r="BD181" s="3" t="s">
        <v>2352</v>
      </c>
    </row>
    <row r="182" spans="1:56" ht="39" customHeight="1" x14ac:dyDescent="0.25">
      <c r="A182" s="7" t="s">
        <v>58</v>
      </c>
      <c r="B182" s="2" t="s">
        <v>2353</v>
      </c>
      <c r="C182" s="2" t="s">
        <v>2354</v>
      </c>
      <c r="D182" s="2" t="s">
        <v>2355</v>
      </c>
      <c r="F182" s="3" t="s">
        <v>58</v>
      </c>
      <c r="G182" s="3" t="s">
        <v>59</v>
      </c>
      <c r="H182" s="3" t="s">
        <v>58</v>
      </c>
      <c r="I182" s="3" t="s">
        <v>58</v>
      </c>
      <c r="J182" s="3" t="s">
        <v>60</v>
      </c>
      <c r="K182" s="2" t="s">
        <v>2356</v>
      </c>
      <c r="L182" s="2" t="s">
        <v>2357</v>
      </c>
      <c r="M182" s="3" t="s">
        <v>157</v>
      </c>
      <c r="O182" s="3" t="s">
        <v>65</v>
      </c>
      <c r="P182" s="3" t="s">
        <v>2303</v>
      </c>
      <c r="Q182" s="2" t="s">
        <v>2358</v>
      </c>
      <c r="R182" s="3" t="s">
        <v>68</v>
      </c>
      <c r="S182" s="4">
        <v>1</v>
      </c>
      <c r="T182" s="4">
        <v>1</v>
      </c>
      <c r="U182" s="5" t="s">
        <v>2219</v>
      </c>
      <c r="V182" s="5" t="s">
        <v>2219</v>
      </c>
      <c r="W182" s="5" t="s">
        <v>1867</v>
      </c>
      <c r="X182" s="5" t="s">
        <v>1867</v>
      </c>
      <c r="Y182" s="4">
        <v>108</v>
      </c>
      <c r="Z182" s="4">
        <v>90</v>
      </c>
      <c r="AA182" s="4">
        <v>91</v>
      </c>
      <c r="AB182" s="4">
        <v>2</v>
      </c>
      <c r="AC182" s="4">
        <v>2</v>
      </c>
      <c r="AD182" s="4">
        <v>12</v>
      </c>
      <c r="AE182" s="4">
        <v>12</v>
      </c>
      <c r="AF182" s="4">
        <v>2</v>
      </c>
      <c r="AG182" s="4">
        <v>2</v>
      </c>
      <c r="AH182" s="4">
        <v>5</v>
      </c>
      <c r="AI182" s="4">
        <v>5</v>
      </c>
      <c r="AJ182" s="4">
        <v>9</v>
      </c>
      <c r="AK182" s="4">
        <v>9</v>
      </c>
      <c r="AL182" s="4">
        <v>0</v>
      </c>
      <c r="AM182" s="4">
        <v>0</v>
      </c>
      <c r="AN182" s="4">
        <v>0</v>
      </c>
      <c r="AO182" s="4">
        <v>0</v>
      </c>
      <c r="AP182" s="3" t="s">
        <v>58</v>
      </c>
      <c r="AQ182" s="3" t="s">
        <v>58</v>
      </c>
      <c r="AS182" s="6" t="str">
        <f>HYPERLINK("https://creighton-primo.hosted.exlibrisgroup.com/primo-explore/search?tab=default_tab&amp;search_scope=EVERYTHING&amp;vid=01CRU&amp;lang=en_US&amp;offset=0&amp;query=any,contains,991000178229702656","Catalog Record")</f>
        <v>Catalog Record</v>
      </c>
      <c r="AT182" s="6" t="str">
        <f>HYPERLINK("http://www.worldcat.org/oclc/9369570","WorldCat Record")</f>
        <v>WorldCat Record</v>
      </c>
      <c r="AU182" s="3" t="s">
        <v>2359</v>
      </c>
      <c r="AV182" s="3" t="s">
        <v>2360</v>
      </c>
      <c r="AW182" s="3" t="s">
        <v>2361</v>
      </c>
      <c r="AX182" s="3" t="s">
        <v>2361</v>
      </c>
      <c r="AY182" s="3" t="s">
        <v>2362</v>
      </c>
      <c r="AZ182" s="3" t="s">
        <v>75</v>
      </c>
      <c r="BB182" s="3" t="s">
        <v>2363</v>
      </c>
      <c r="BC182" s="3" t="s">
        <v>2364</v>
      </c>
      <c r="BD182" s="3" t="s">
        <v>2365</v>
      </c>
    </row>
    <row r="183" spans="1:56" ht="39" customHeight="1" x14ac:dyDescent="0.25">
      <c r="A183" s="7" t="s">
        <v>58</v>
      </c>
      <c r="B183" s="2" t="s">
        <v>2366</v>
      </c>
      <c r="C183" s="2" t="s">
        <v>2367</v>
      </c>
      <c r="D183" s="2" t="s">
        <v>2368</v>
      </c>
      <c r="F183" s="3" t="s">
        <v>58</v>
      </c>
      <c r="G183" s="3" t="s">
        <v>59</v>
      </c>
      <c r="H183" s="3" t="s">
        <v>58</v>
      </c>
      <c r="I183" s="3" t="s">
        <v>58</v>
      </c>
      <c r="J183" s="3" t="s">
        <v>60</v>
      </c>
      <c r="K183" s="2" t="s">
        <v>2369</v>
      </c>
      <c r="L183" s="2" t="s">
        <v>2370</v>
      </c>
      <c r="M183" s="3" t="s">
        <v>631</v>
      </c>
      <c r="O183" s="3" t="s">
        <v>65</v>
      </c>
      <c r="P183" s="3" t="s">
        <v>492</v>
      </c>
      <c r="R183" s="3" t="s">
        <v>68</v>
      </c>
      <c r="S183" s="4">
        <v>2</v>
      </c>
      <c r="T183" s="4">
        <v>2</v>
      </c>
      <c r="U183" s="5" t="s">
        <v>2371</v>
      </c>
      <c r="V183" s="5" t="s">
        <v>2371</v>
      </c>
      <c r="W183" s="5" t="s">
        <v>1867</v>
      </c>
      <c r="X183" s="5" t="s">
        <v>1867</v>
      </c>
      <c r="Y183" s="4">
        <v>67</v>
      </c>
      <c r="Z183" s="4">
        <v>17</v>
      </c>
      <c r="AA183" s="4">
        <v>66</v>
      </c>
      <c r="AB183" s="4">
        <v>1</v>
      </c>
      <c r="AC183" s="4">
        <v>1</v>
      </c>
      <c r="AD183" s="4">
        <v>2</v>
      </c>
      <c r="AE183" s="4">
        <v>7</v>
      </c>
      <c r="AF183" s="4">
        <v>0</v>
      </c>
      <c r="AG183" s="4">
        <v>1</v>
      </c>
      <c r="AH183" s="4">
        <v>0</v>
      </c>
      <c r="AI183" s="4">
        <v>2</v>
      </c>
      <c r="AJ183" s="4">
        <v>2</v>
      </c>
      <c r="AK183" s="4">
        <v>5</v>
      </c>
      <c r="AL183" s="4">
        <v>0</v>
      </c>
      <c r="AM183" s="4">
        <v>0</v>
      </c>
      <c r="AN183" s="4">
        <v>0</v>
      </c>
      <c r="AO183" s="4">
        <v>0</v>
      </c>
      <c r="AP183" s="3" t="s">
        <v>58</v>
      </c>
      <c r="AQ183" s="3" t="s">
        <v>58</v>
      </c>
      <c r="AS183" s="6" t="str">
        <f>HYPERLINK("https://creighton-primo.hosted.exlibrisgroup.com/primo-explore/search?tab=default_tab&amp;search_scope=EVERYTHING&amp;vid=01CRU&amp;lang=en_US&amp;offset=0&amp;query=any,contains,991003861839702656","Catalog Record")</f>
        <v>Catalog Record</v>
      </c>
      <c r="AT183" s="6" t="str">
        <f>HYPERLINK("http://www.worldcat.org/oclc/1668333","WorldCat Record")</f>
        <v>WorldCat Record</v>
      </c>
      <c r="AU183" s="3" t="s">
        <v>2372</v>
      </c>
      <c r="AV183" s="3" t="s">
        <v>2373</v>
      </c>
      <c r="AW183" s="3" t="s">
        <v>2374</v>
      </c>
      <c r="AX183" s="3" t="s">
        <v>2374</v>
      </c>
      <c r="AY183" s="3" t="s">
        <v>2375</v>
      </c>
      <c r="AZ183" s="3" t="s">
        <v>75</v>
      </c>
      <c r="BB183" s="3" t="s">
        <v>2376</v>
      </c>
      <c r="BC183" s="3" t="s">
        <v>2377</v>
      </c>
      <c r="BD183" s="3" t="s">
        <v>2378</v>
      </c>
    </row>
    <row r="184" spans="1:56" ht="39" customHeight="1" x14ac:dyDescent="0.25">
      <c r="A184" s="7" t="s">
        <v>58</v>
      </c>
      <c r="B184" s="2" t="s">
        <v>2379</v>
      </c>
      <c r="C184" s="2" t="s">
        <v>2380</v>
      </c>
      <c r="D184" s="2" t="s">
        <v>2381</v>
      </c>
      <c r="F184" s="3" t="s">
        <v>58</v>
      </c>
      <c r="G184" s="3" t="s">
        <v>59</v>
      </c>
      <c r="H184" s="3" t="s">
        <v>58</v>
      </c>
      <c r="I184" s="3" t="s">
        <v>58</v>
      </c>
      <c r="J184" s="3" t="s">
        <v>60</v>
      </c>
      <c r="K184" s="2" t="s">
        <v>2382</v>
      </c>
      <c r="L184" s="2" t="s">
        <v>2383</v>
      </c>
      <c r="M184" s="3" t="s">
        <v>670</v>
      </c>
      <c r="O184" s="3" t="s">
        <v>65</v>
      </c>
      <c r="P184" s="3" t="s">
        <v>186</v>
      </c>
      <c r="R184" s="3" t="s">
        <v>68</v>
      </c>
      <c r="S184" s="4">
        <v>3</v>
      </c>
      <c r="T184" s="4">
        <v>3</v>
      </c>
      <c r="U184" s="5" t="s">
        <v>2384</v>
      </c>
      <c r="V184" s="5" t="s">
        <v>2384</v>
      </c>
      <c r="W184" s="5" t="s">
        <v>1867</v>
      </c>
      <c r="X184" s="5" t="s">
        <v>1867</v>
      </c>
      <c r="Y184" s="4">
        <v>677</v>
      </c>
      <c r="Z184" s="4">
        <v>599</v>
      </c>
      <c r="AA184" s="4">
        <v>662</v>
      </c>
      <c r="AB184" s="4">
        <v>8</v>
      </c>
      <c r="AC184" s="4">
        <v>9</v>
      </c>
      <c r="AD184" s="4">
        <v>38</v>
      </c>
      <c r="AE184" s="4">
        <v>41</v>
      </c>
      <c r="AF184" s="4">
        <v>15</v>
      </c>
      <c r="AG184" s="4">
        <v>15</v>
      </c>
      <c r="AH184" s="4">
        <v>6</v>
      </c>
      <c r="AI184" s="4">
        <v>7</v>
      </c>
      <c r="AJ184" s="4">
        <v>22</v>
      </c>
      <c r="AK184" s="4">
        <v>23</v>
      </c>
      <c r="AL184" s="4">
        <v>6</v>
      </c>
      <c r="AM184" s="4">
        <v>7</v>
      </c>
      <c r="AN184" s="4">
        <v>0</v>
      </c>
      <c r="AO184" s="4">
        <v>0</v>
      </c>
      <c r="AP184" s="3" t="s">
        <v>58</v>
      </c>
      <c r="AQ184" s="3" t="s">
        <v>58</v>
      </c>
      <c r="AS184" s="6" t="str">
        <f>HYPERLINK("https://creighton-primo.hosted.exlibrisgroup.com/primo-explore/search?tab=default_tab&amp;search_scope=EVERYTHING&amp;vid=01CRU&amp;lang=en_US&amp;offset=0&amp;query=any,contains,991000657619702656","Catalog Record")</f>
        <v>Catalog Record</v>
      </c>
      <c r="AT184" s="6" t="str">
        <f>HYPERLINK("http://www.worldcat.org/oclc/116190","WorldCat Record")</f>
        <v>WorldCat Record</v>
      </c>
      <c r="AU184" s="3" t="s">
        <v>2385</v>
      </c>
      <c r="AV184" s="3" t="s">
        <v>2386</v>
      </c>
      <c r="AW184" s="3" t="s">
        <v>2387</v>
      </c>
      <c r="AX184" s="3" t="s">
        <v>2387</v>
      </c>
      <c r="AY184" s="3" t="s">
        <v>2388</v>
      </c>
      <c r="AZ184" s="3" t="s">
        <v>75</v>
      </c>
      <c r="BC184" s="3" t="s">
        <v>2389</v>
      </c>
      <c r="BD184" s="3" t="s">
        <v>2390</v>
      </c>
    </row>
    <row r="185" spans="1:56" ht="39" customHeight="1" x14ac:dyDescent="0.25">
      <c r="A185" s="7" t="s">
        <v>58</v>
      </c>
      <c r="B185" s="2" t="s">
        <v>2391</v>
      </c>
      <c r="C185" s="2" t="s">
        <v>2392</v>
      </c>
      <c r="D185" s="2" t="s">
        <v>2393</v>
      </c>
      <c r="F185" s="3" t="s">
        <v>58</v>
      </c>
      <c r="G185" s="3" t="s">
        <v>59</v>
      </c>
      <c r="H185" s="3" t="s">
        <v>58</v>
      </c>
      <c r="I185" s="3" t="s">
        <v>132</v>
      </c>
      <c r="J185" s="3" t="s">
        <v>60</v>
      </c>
      <c r="K185" s="2" t="s">
        <v>2394</v>
      </c>
      <c r="L185" s="2" t="s">
        <v>2395</v>
      </c>
      <c r="M185" s="3" t="s">
        <v>670</v>
      </c>
      <c r="O185" s="3" t="s">
        <v>65</v>
      </c>
      <c r="P185" s="3" t="s">
        <v>186</v>
      </c>
      <c r="R185" s="3" t="s">
        <v>68</v>
      </c>
      <c r="S185" s="4">
        <v>2</v>
      </c>
      <c r="T185" s="4">
        <v>2</v>
      </c>
      <c r="U185" s="5" t="s">
        <v>2396</v>
      </c>
      <c r="V185" s="5" t="s">
        <v>2396</v>
      </c>
      <c r="W185" s="5" t="s">
        <v>1867</v>
      </c>
      <c r="X185" s="5" t="s">
        <v>1867</v>
      </c>
      <c r="Y185" s="4">
        <v>242</v>
      </c>
      <c r="Z185" s="4">
        <v>219</v>
      </c>
      <c r="AA185" s="4">
        <v>288</v>
      </c>
      <c r="AB185" s="4">
        <v>3</v>
      </c>
      <c r="AC185" s="4">
        <v>4</v>
      </c>
      <c r="AD185" s="4">
        <v>23</v>
      </c>
      <c r="AE185" s="4">
        <v>31</v>
      </c>
      <c r="AF185" s="4">
        <v>7</v>
      </c>
      <c r="AG185" s="4">
        <v>11</v>
      </c>
      <c r="AH185" s="4">
        <v>7</v>
      </c>
      <c r="AI185" s="4">
        <v>7</v>
      </c>
      <c r="AJ185" s="4">
        <v>17</v>
      </c>
      <c r="AK185" s="4">
        <v>24</v>
      </c>
      <c r="AL185" s="4">
        <v>1</v>
      </c>
      <c r="AM185" s="4">
        <v>1</v>
      </c>
      <c r="AN185" s="4">
        <v>0</v>
      </c>
      <c r="AO185" s="4">
        <v>0</v>
      </c>
      <c r="AP185" s="3" t="s">
        <v>58</v>
      </c>
      <c r="AQ185" s="3" t="s">
        <v>58</v>
      </c>
      <c r="AS185" s="6" t="str">
        <f>HYPERLINK("https://creighton-primo.hosted.exlibrisgroup.com/primo-explore/search?tab=default_tab&amp;search_scope=EVERYTHING&amp;vid=01CRU&amp;lang=en_US&amp;offset=0&amp;query=any,contains,991000581389702656","Catalog Record")</f>
        <v>Catalog Record</v>
      </c>
      <c r="AT185" s="6" t="str">
        <f>HYPERLINK("http://www.worldcat.org/oclc/95637","WorldCat Record")</f>
        <v>WorldCat Record</v>
      </c>
      <c r="AU185" s="3" t="s">
        <v>2397</v>
      </c>
      <c r="AV185" s="3" t="s">
        <v>2398</v>
      </c>
      <c r="AW185" s="3" t="s">
        <v>2399</v>
      </c>
      <c r="AX185" s="3" t="s">
        <v>2399</v>
      </c>
      <c r="AY185" s="3" t="s">
        <v>2400</v>
      </c>
      <c r="AZ185" s="3" t="s">
        <v>75</v>
      </c>
      <c r="BC185" s="3" t="s">
        <v>2401</v>
      </c>
      <c r="BD185" s="3" t="s">
        <v>2402</v>
      </c>
    </row>
    <row r="186" spans="1:56" ht="39" customHeight="1" x14ac:dyDescent="0.25">
      <c r="A186" s="7" t="s">
        <v>58</v>
      </c>
      <c r="B186" s="2" t="s">
        <v>2403</v>
      </c>
      <c r="C186" s="2" t="s">
        <v>2404</v>
      </c>
      <c r="D186" s="2" t="s">
        <v>2405</v>
      </c>
      <c r="F186" s="3" t="s">
        <v>58</v>
      </c>
      <c r="G186" s="3" t="s">
        <v>59</v>
      </c>
      <c r="H186" s="3" t="s">
        <v>58</v>
      </c>
      <c r="I186" s="3" t="s">
        <v>58</v>
      </c>
      <c r="J186" s="3" t="s">
        <v>60</v>
      </c>
      <c r="K186" s="2" t="s">
        <v>2394</v>
      </c>
      <c r="L186" s="2" t="s">
        <v>2406</v>
      </c>
      <c r="M186" s="3" t="s">
        <v>83</v>
      </c>
      <c r="O186" s="3" t="s">
        <v>65</v>
      </c>
      <c r="P186" s="3" t="s">
        <v>1358</v>
      </c>
      <c r="R186" s="3" t="s">
        <v>68</v>
      </c>
      <c r="S186" s="4">
        <v>3</v>
      </c>
      <c r="T186" s="4">
        <v>3</v>
      </c>
      <c r="U186" s="5" t="s">
        <v>2396</v>
      </c>
      <c r="V186" s="5" t="s">
        <v>2396</v>
      </c>
      <c r="W186" s="5" t="s">
        <v>1867</v>
      </c>
      <c r="X186" s="5" t="s">
        <v>1867</v>
      </c>
      <c r="Y186" s="4">
        <v>254</v>
      </c>
      <c r="Z186" s="4">
        <v>226</v>
      </c>
      <c r="AA186" s="4">
        <v>235</v>
      </c>
      <c r="AB186" s="4">
        <v>2</v>
      </c>
      <c r="AC186" s="4">
        <v>2</v>
      </c>
      <c r="AD186" s="4">
        <v>21</v>
      </c>
      <c r="AE186" s="4">
        <v>21</v>
      </c>
      <c r="AF186" s="4">
        <v>6</v>
      </c>
      <c r="AG186" s="4">
        <v>6</v>
      </c>
      <c r="AH186" s="4">
        <v>5</v>
      </c>
      <c r="AI186" s="4">
        <v>5</v>
      </c>
      <c r="AJ186" s="4">
        <v>17</v>
      </c>
      <c r="AK186" s="4">
        <v>17</v>
      </c>
      <c r="AL186" s="4">
        <v>0</v>
      </c>
      <c r="AM186" s="4">
        <v>0</v>
      </c>
      <c r="AN186" s="4">
        <v>0</v>
      </c>
      <c r="AO186" s="4">
        <v>0</v>
      </c>
      <c r="AP186" s="3" t="s">
        <v>58</v>
      </c>
      <c r="AQ186" s="3" t="s">
        <v>58</v>
      </c>
      <c r="AS186" s="6" t="str">
        <f>HYPERLINK("https://creighton-primo.hosted.exlibrisgroup.com/primo-explore/search?tab=default_tab&amp;search_scope=EVERYTHING&amp;vid=01CRU&amp;lang=en_US&amp;offset=0&amp;query=any,contains,991003855339702656","Catalog Record")</f>
        <v>Catalog Record</v>
      </c>
      <c r="AT186" s="6" t="str">
        <f>HYPERLINK("http://www.worldcat.org/oclc/1652596","WorldCat Record")</f>
        <v>WorldCat Record</v>
      </c>
      <c r="AU186" s="3" t="s">
        <v>2407</v>
      </c>
      <c r="AV186" s="3" t="s">
        <v>2408</v>
      </c>
      <c r="AW186" s="3" t="s">
        <v>2409</v>
      </c>
      <c r="AX186" s="3" t="s">
        <v>2409</v>
      </c>
      <c r="AY186" s="3" t="s">
        <v>2410</v>
      </c>
      <c r="AZ186" s="3" t="s">
        <v>75</v>
      </c>
      <c r="BC186" s="3" t="s">
        <v>2411</v>
      </c>
      <c r="BD186" s="3" t="s">
        <v>2412</v>
      </c>
    </row>
    <row r="187" spans="1:56" ht="39" customHeight="1" x14ac:dyDescent="0.25">
      <c r="A187" s="7" t="s">
        <v>58</v>
      </c>
      <c r="B187" s="2" t="s">
        <v>2413</v>
      </c>
      <c r="C187" s="2" t="s">
        <v>2414</v>
      </c>
      <c r="D187" s="2" t="s">
        <v>2415</v>
      </c>
      <c r="F187" s="3" t="s">
        <v>58</v>
      </c>
      <c r="G187" s="3" t="s">
        <v>59</v>
      </c>
      <c r="H187" s="3" t="s">
        <v>58</v>
      </c>
      <c r="I187" s="3" t="s">
        <v>58</v>
      </c>
      <c r="J187" s="3" t="s">
        <v>60</v>
      </c>
      <c r="K187" s="2" t="s">
        <v>2416</v>
      </c>
      <c r="L187" s="2" t="s">
        <v>2417</v>
      </c>
      <c r="M187" s="3" t="s">
        <v>2418</v>
      </c>
      <c r="O187" s="3" t="s">
        <v>65</v>
      </c>
      <c r="P187" s="3" t="s">
        <v>954</v>
      </c>
      <c r="R187" s="3" t="s">
        <v>68</v>
      </c>
      <c r="S187" s="4">
        <v>2</v>
      </c>
      <c r="T187" s="4">
        <v>2</v>
      </c>
      <c r="U187" s="5" t="s">
        <v>2419</v>
      </c>
      <c r="V187" s="5" t="s">
        <v>2419</v>
      </c>
      <c r="W187" s="5" t="s">
        <v>1867</v>
      </c>
      <c r="X187" s="5" t="s">
        <v>1867</v>
      </c>
      <c r="Y187" s="4">
        <v>191</v>
      </c>
      <c r="Z187" s="4">
        <v>171</v>
      </c>
      <c r="AA187" s="4">
        <v>181</v>
      </c>
      <c r="AB187" s="4">
        <v>2</v>
      </c>
      <c r="AC187" s="4">
        <v>2</v>
      </c>
      <c r="AD187" s="4">
        <v>20</v>
      </c>
      <c r="AE187" s="4">
        <v>20</v>
      </c>
      <c r="AF187" s="4">
        <v>5</v>
      </c>
      <c r="AG187" s="4">
        <v>5</v>
      </c>
      <c r="AH187" s="4">
        <v>6</v>
      </c>
      <c r="AI187" s="4">
        <v>6</v>
      </c>
      <c r="AJ187" s="4">
        <v>16</v>
      </c>
      <c r="AK187" s="4">
        <v>16</v>
      </c>
      <c r="AL187" s="4">
        <v>0</v>
      </c>
      <c r="AM187" s="4">
        <v>0</v>
      </c>
      <c r="AN187" s="4">
        <v>0</v>
      </c>
      <c r="AO187" s="4">
        <v>0</v>
      </c>
      <c r="AP187" s="3" t="s">
        <v>58</v>
      </c>
      <c r="AQ187" s="3" t="s">
        <v>58</v>
      </c>
      <c r="AS187" s="6" t="str">
        <f>HYPERLINK("https://creighton-primo.hosted.exlibrisgroup.com/primo-explore/search?tab=default_tab&amp;search_scope=EVERYTHING&amp;vid=01CRU&amp;lang=en_US&amp;offset=0&amp;query=any,contains,991002581439702656","Catalog Record")</f>
        <v>Catalog Record</v>
      </c>
      <c r="AT187" s="6" t="str">
        <f>HYPERLINK("http://www.worldcat.org/oclc/375217","WorldCat Record")</f>
        <v>WorldCat Record</v>
      </c>
      <c r="AU187" s="3" t="s">
        <v>2420</v>
      </c>
      <c r="AV187" s="3" t="s">
        <v>2421</v>
      </c>
      <c r="AW187" s="3" t="s">
        <v>2422</v>
      </c>
      <c r="AX187" s="3" t="s">
        <v>2422</v>
      </c>
      <c r="AY187" s="3" t="s">
        <v>2423</v>
      </c>
      <c r="AZ187" s="3" t="s">
        <v>75</v>
      </c>
      <c r="BC187" s="3" t="s">
        <v>2424</v>
      </c>
      <c r="BD187" s="3" t="s">
        <v>2425</v>
      </c>
    </row>
    <row r="188" spans="1:56" ht="39" customHeight="1" x14ac:dyDescent="0.25">
      <c r="A188" s="7" t="s">
        <v>58</v>
      </c>
      <c r="B188" s="2" t="s">
        <v>2426</v>
      </c>
      <c r="C188" s="2" t="s">
        <v>2427</v>
      </c>
      <c r="D188" s="2" t="s">
        <v>2428</v>
      </c>
      <c r="F188" s="3" t="s">
        <v>58</v>
      </c>
      <c r="G188" s="3" t="s">
        <v>59</v>
      </c>
      <c r="H188" s="3" t="s">
        <v>58</v>
      </c>
      <c r="I188" s="3" t="s">
        <v>58</v>
      </c>
      <c r="J188" s="3" t="s">
        <v>60</v>
      </c>
      <c r="K188" s="2" t="s">
        <v>2429</v>
      </c>
      <c r="L188" s="2" t="s">
        <v>2430</v>
      </c>
      <c r="M188" s="3" t="s">
        <v>462</v>
      </c>
      <c r="O188" s="3" t="s">
        <v>65</v>
      </c>
      <c r="P188" s="3" t="s">
        <v>304</v>
      </c>
      <c r="R188" s="3" t="s">
        <v>68</v>
      </c>
      <c r="S188" s="4">
        <v>6</v>
      </c>
      <c r="T188" s="4">
        <v>6</v>
      </c>
      <c r="U188" s="5" t="s">
        <v>2431</v>
      </c>
      <c r="V188" s="5" t="s">
        <v>2431</v>
      </c>
      <c r="W188" s="5" t="s">
        <v>348</v>
      </c>
      <c r="X188" s="5" t="s">
        <v>348</v>
      </c>
      <c r="Y188" s="4">
        <v>190</v>
      </c>
      <c r="Z188" s="4">
        <v>169</v>
      </c>
      <c r="AA188" s="4">
        <v>169</v>
      </c>
      <c r="AB188" s="4">
        <v>3</v>
      </c>
      <c r="AC188" s="4">
        <v>3</v>
      </c>
      <c r="AD188" s="4">
        <v>13</v>
      </c>
      <c r="AE188" s="4">
        <v>13</v>
      </c>
      <c r="AF188" s="4">
        <v>2</v>
      </c>
      <c r="AG188" s="4">
        <v>2</v>
      </c>
      <c r="AH188" s="4">
        <v>2</v>
      </c>
      <c r="AI188" s="4">
        <v>2</v>
      </c>
      <c r="AJ188" s="4">
        <v>11</v>
      </c>
      <c r="AK188" s="4">
        <v>11</v>
      </c>
      <c r="AL188" s="4">
        <v>1</v>
      </c>
      <c r="AM188" s="4">
        <v>1</v>
      </c>
      <c r="AN188" s="4">
        <v>0</v>
      </c>
      <c r="AO188" s="4">
        <v>0</v>
      </c>
      <c r="AP188" s="3" t="s">
        <v>58</v>
      </c>
      <c r="AQ188" s="3" t="s">
        <v>58</v>
      </c>
      <c r="AS188" s="6" t="str">
        <f>HYPERLINK("https://creighton-primo.hosted.exlibrisgroup.com/primo-explore/search?tab=default_tab&amp;search_scope=EVERYTHING&amp;vid=01CRU&amp;lang=en_US&amp;offset=0&amp;query=any,contains,991000576249702656","Catalog Record")</f>
        <v>Catalog Record</v>
      </c>
      <c r="AT188" s="6" t="str">
        <f>HYPERLINK("http://www.worldcat.org/oclc/11687853","WorldCat Record")</f>
        <v>WorldCat Record</v>
      </c>
      <c r="AU188" s="3" t="s">
        <v>2432</v>
      </c>
      <c r="AV188" s="3" t="s">
        <v>2433</v>
      </c>
      <c r="AW188" s="3" t="s">
        <v>2434</v>
      </c>
      <c r="AX188" s="3" t="s">
        <v>2434</v>
      </c>
      <c r="AY188" s="3" t="s">
        <v>2435</v>
      </c>
      <c r="AZ188" s="3" t="s">
        <v>75</v>
      </c>
      <c r="BB188" s="3" t="s">
        <v>2436</v>
      </c>
      <c r="BC188" s="3" t="s">
        <v>2437</v>
      </c>
      <c r="BD188" s="3" t="s">
        <v>2438</v>
      </c>
    </row>
    <row r="189" spans="1:56" ht="39" customHeight="1" x14ac:dyDescent="0.25">
      <c r="A189" s="7" t="s">
        <v>58</v>
      </c>
      <c r="B189" s="2" t="s">
        <v>2439</v>
      </c>
      <c r="C189" s="2" t="s">
        <v>2440</v>
      </c>
      <c r="D189" s="2" t="s">
        <v>2441</v>
      </c>
      <c r="F189" s="3" t="s">
        <v>58</v>
      </c>
      <c r="G189" s="3" t="s">
        <v>59</v>
      </c>
      <c r="H189" s="3" t="s">
        <v>58</v>
      </c>
      <c r="I189" s="3" t="s">
        <v>58</v>
      </c>
      <c r="J189" s="3" t="s">
        <v>60</v>
      </c>
      <c r="K189" s="2" t="s">
        <v>2166</v>
      </c>
      <c r="L189" s="2" t="s">
        <v>2442</v>
      </c>
      <c r="M189" s="3" t="s">
        <v>953</v>
      </c>
      <c r="O189" s="3" t="s">
        <v>65</v>
      </c>
      <c r="P189" s="3" t="s">
        <v>1358</v>
      </c>
      <c r="R189" s="3" t="s">
        <v>68</v>
      </c>
      <c r="S189" s="4">
        <v>2</v>
      </c>
      <c r="T189" s="4">
        <v>2</v>
      </c>
      <c r="U189" s="5" t="s">
        <v>2443</v>
      </c>
      <c r="V189" s="5" t="s">
        <v>2443</v>
      </c>
      <c r="W189" s="5" t="s">
        <v>1867</v>
      </c>
      <c r="X189" s="5" t="s">
        <v>1867</v>
      </c>
      <c r="Y189" s="4">
        <v>52</v>
      </c>
      <c r="Z189" s="4">
        <v>46</v>
      </c>
      <c r="AA189" s="4">
        <v>51</v>
      </c>
      <c r="AB189" s="4">
        <v>2</v>
      </c>
      <c r="AC189" s="4">
        <v>2</v>
      </c>
      <c r="AD189" s="4">
        <v>8</v>
      </c>
      <c r="AE189" s="4">
        <v>8</v>
      </c>
      <c r="AF189" s="4">
        <v>1</v>
      </c>
      <c r="AG189" s="4">
        <v>1</v>
      </c>
      <c r="AH189" s="4">
        <v>3</v>
      </c>
      <c r="AI189" s="4">
        <v>3</v>
      </c>
      <c r="AJ189" s="4">
        <v>5</v>
      </c>
      <c r="AK189" s="4">
        <v>5</v>
      </c>
      <c r="AL189" s="4">
        <v>0</v>
      </c>
      <c r="AM189" s="4">
        <v>0</v>
      </c>
      <c r="AN189" s="4">
        <v>0</v>
      </c>
      <c r="AO189" s="4">
        <v>0</v>
      </c>
      <c r="AP189" s="3" t="s">
        <v>58</v>
      </c>
      <c r="AQ189" s="3" t="s">
        <v>58</v>
      </c>
      <c r="AS189" s="6" t="str">
        <f>HYPERLINK("https://creighton-primo.hosted.exlibrisgroup.com/primo-explore/search?tab=default_tab&amp;search_scope=EVERYTHING&amp;vid=01CRU&amp;lang=en_US&amp;offset=0&amp;query=any,contains,991004165459702656","Catalog Record")</f>
        <v>Catalog Record</v>
      </c>
      <c r="AT189" s="6" t="str">
        <f>HYPERLINK("http://www.worldcat.org/oclc/2565670","WorldCat Record")</f>
        <v>WorldCat Record</v>
      </c>
      <c r="AU189" s="3" t="s">
        <v>2444</v>
      </c>
      <c r="AV189" s="3" t="s">
        <v>2445</v>
      </c>
      <c r="AW189" s="3" t="s">
        <v>2446</v>
      </c>
      <c r="AX189" s="3" t="s">
        <v>2446</v>
      </c>
      <c r="AY189" s="3" t="s">
        <v>2447</v>
      </c>
      <c r="AZ189" s="3" t="s">
        <v>75</v>
      </c>
      <c r="BC189" s="3" t="s">
        <v>2448</v>
      </c>
      <c r="BD189" s="3" t="s">
        <v>2449</v>
      </c>
    </row>
    <row r="190" spans="1:56" ht="39" customHeight="1" x14ac:dyDescent="0.25">
      <c r="A190" s="7" t="s">
        <v>58</v>
      </c>
      <c r="B190" s="2" t="s">
        <v>2450</v>
      </c>
      <c r="C190" s="2" t="s">
        <v>2451</v>
      </c>
      <c r="D190" s="2" t="s">
        <v>2452</v>
      </c>
      <c r="F190" s="3" t="s">
        <v>58</v>
      </c>
      <c r="G190" s="3" t="s">
        <v>59</v>
      </c>
      <c r="H190" s="3" t="s">
        <v>58</v>
      </c>
      <c r="I190" s="3" t="s">
        <v>58</v>
      </c>
      <c r="J190" s="3" t="s">
        <v>60</v>
      </c>
      <c r="K190" s="2" t="s">
        <v>2453</v>
      </c>
      <c r="L190" s="2" t="s">
        <v>2454</v>
      </c>
      <c r="M190" s="3" t="s">
        <v>172</v>
      </c>
      <c r="O190" s="3" t="s">
        <v>65</v>
      </c>
      <c r="P190" s="3" t="s">
        <v>66</v>
      </c>
      <c r="Q190" s="2" t="s">
        <v>2455</v>
      </c>
      <c r="R190" s="3" t="s">
        <v>68</v>
      </c>
      <c r="S190" s="4">
        <v>3</v>
      </c>
      <c r="T190" s="4">
        <v>3</v>
      </c>
      <c r="U190" s="5" t="s">
        <v>2206</v>
      </c>
      <c r="V190" s="5" t="s">
        <v>2206</v>
      </c>
      <c r="W190" s="5" t="s">
        <v>1867</v>
      </c>
      <c r="X190" s="5" t="s">
        <v>1867</v>
      </c>
      <c r="Y190" s="4">
        <v>186</v>
      </c>
      <c r="Z190" s="4">
        <v>117</v>
      </c>
      <c r="AA190" s="4">
        <v>120</v>
      </c>
      <c r="AB190" s="4">
        <v>2</v>
      </c>
      <c r="AC190" s="4">
        <v>2</v>
      </c>
      <c r="AD190" s="4">
        <v>14</v>
      </c>
      <c r="AE190" s="4">
        <v>14</v>
      </c>
      <c r="AF190" s="4">
        <v>6</v>
      </c>
      <c r="AG190" s="4">
        <v>6</v>
      </c>
      <c r="AH190" s="4">
        <v>1</v>
      </c>
      <c r="AI190" s="4">
        <v>1</v>
      </c>
      <c r="AJ190" s="4">
        <v>11</v>
      </c>
      <c r="AK190" s="4">
        <v>11</v>
      </c>
      <c r="AL190" s="4">
        <v>0</v>
      </c>
      <c r="AM190" s="4">
        <v>0</v>
      </c>
      <c r="AN190" s="4">
        <v>0</v>
      </c>
      <c r="AO190" s="4">
        <v>0</v>
      </c>
      <c r="AP190" s="3" t="s">
        <v>58</v>
      </c>
      <c r="AQ190" s="3" t="s">
        <v>58</v>
      </c>
      <c r="AS190" s="6" t="str">
        <f>HYPERLINK("https://creighton-primo.hosted.exlibrisgroup.com/primo-explore/search?tab=default_tab&amp;search_scope=EVERYTHING&amp;vid=01CRU&amp;lang=en_US&amp;offset=0&amp;query=any,contains,991002173459702656","Catalog Record")</f>
        <v>Catalog Record</v>
      </c>
      <c r="AT190" s="6" t="str">
        <f>HYPERLINK("http://www.worldcat.org/oclc/277503","WorldCat Record")</f>
        <v>WorldCat Record</v>
      </c>
      <c r="AU190" s="3" t="s">
        <v>2456</v>
      </c>
      <c r="AV190" s="3" t="s">
        <v>2457</v>
      </c>
      <c r="AW190" s="3" t="s">
        <v>2458</v>
      </c>
      <c r="AX190" s="3" t="s">
        <v>2458</v>
      </c>
      <c r="AY190" s="3" t="s">
        <v>2459</v>
      </c>
      <c r="AZ190" s="3" t="s">
        <v>75</v>
      </c>
      <c r="BB190" s="3" t="s">
        <v>2460</v>
      </c>
      <c r="BC190" s="3" t="s">
        <v>2461</v>
      </c>
      <c r="BD190" s="3" t="s">
        <v>2462</v>
      </c>
    </row>
    <row r="191" spans="1:56" ht="39" customHeight="1" x14ac:dyDescent="0.25">
      <c r="A191" s="7" t="s">
        <v>58</v>
      </c>
      <c r="B191" s="2" t="s">
        <v>2463</v>
      </c>
      <c r="C191" s="2" t="s">
        <v>2464</v>
      </c>
      <c r="D191" s="2" t="s">
        <v>2465</v>
      </c>
      <c r="F191" s="3" t="s">
        <v>58</v>
      </c>
      <c r="G191" s="3" t="s">
        <v>59</v>
      </c>
      <c r="H191" s="3" t="s">
        <v>58</v>
      </c>
      <c r="I191" s="3" t="s">
        <v>58</v>
      </c>
      <c r="J191" s="3" t="s">
        <v>60</v>
      </c>
      <c r="K191" s="2" t="s">
        <v>2466</v>
      </c>
      <c r="L191" s="2" t="s">
        <v>2467</v>
      </c>
      <c r="M191" s="3" t="s">
        <v>631</v>
      </c>
      <c r="O191" s="3" t="s">
        <v>65</v>
      </c>
      <c r="P191" s="3" t="s">
        <v>304</v>
      </c>
      <c r="R191" s="3" t="s">
        <v>68</v>
      </c>
      <c r="S191" s="4">
        <v>7</v>
      </c>
      <c r="T191" s="4">
        <v>7</v>
      </c>
      <c r="U191" s="5" t="s">
        <v>2443</v>
      </c>
      <c r="V191" s="5" t="s">
        <v>2443</v>
      </c>
      <c r="W191" s="5" t="s">
        <v>2468</v>
      </c>
      <c r="X191" s="5" t="s">
        <v>2468</v>
      </c>
      <c r="Y191" s="4">
        <v>233</v>
      </c>
      <c r="Z191" s="4">
        <v>207</v>
      </c>
      <c r="AA191" s="4">
        <v>229</v>
      </c>
      <c r="AB191" s="4">
        <v>3</v>
      </c>
      <c r="AC191" s="4">
        <v>3</v>
      </c>
      <c r="AD191" s="4">
        <v>22</v>
      </c>
      <c r="AE191" s="4">
        <v>23</v>
      </c>
      <c r="AF191" s="4">
        <v>5</v>
      </c>
      <c r="AG191" s="4">
        <v>6</v>
      </c>
      <c r="AH191" s="4">
        <v>4</v>
      </c>
      <c r="AI191" s="4">
        <v>4</v>
      </c>
      <c r="AJ191" s="4">
        <v>16</v>
      </c>
      <c r="AK191" s="4">
        <v>17</v>
      </c>
      <c r="AL191" s="4">
        <v>1</v>
      </c>
      <c r="AM191" s="4">
        <v>1</v>
      </c>
      <c r="AN191" s="4">
        <v>0</v>
      </c>
      <c r="AO191" s="4">
        <v>0</v>
      </c>
      <c r="AP191" s="3" t="s">
        <v>58</v>
      </c>
      <c r="AQ191" s="3" t="s">
        <v>132</v>
      </c>
      <c r="AR191" s="6" t="str">
        <f>HYPERLINK("http://catalog.hathitrust.org/Record/009801661","HathiTrust Record")</f>
        <v>HathiTrust Record</v>
      </c>
      <c r="AS191" s="6" t="str">
        <f>HYPERLINK("https://creighton-primo.hosted.exlibrisgroup.com/primo-explore/search?tab=default_tab&amp;search_scope=EVERYTHING&amp;vid=01CRU&amp;lang=en_US&amp;offset=0&amp;query=any,contains,991003962879702656","Catalog Record")</f>
        <v>Catalog Record</v>
      </c>
      <c r="AT191" s="6" t="str">
        <f>HYPERLINK("http://www.worldcat.org/oclc/1976206","WorldCat Record")</f>
        <v>WorldCat Record</v>
      </c>
      <c r="AU191" s="3" t="s">
        <v>2469</v>
      </c>
      <c r="AV191" s="3" t="s">
        <v>2470</v>
      </c>
      <c r="AW191" s="3" t="s">
        <v>2471</v>
      </c>
      <c r="AX191" s="3" t="s">
        <v>2471</v>
      </c>
      <c r="AY191" s="3" t="s">
        <v>2472</v>
      </c>
      <c r="AZ191" s="3" t="s">
        <v>75</v>
      </c>
      <c r="BB191" s="3" t="s">
        <v>2473</v>
      </c>
      <c r="BC191" s="3" t="s">
        <v>2474</v>
      </c>
      <c r="BD191" s="3" t="s">
        <v>2475</v>
      </c>
    </row>
    <row r="192" spans="1:56" ht="39" customHeight="1" x14ac:dyDescent="0.25">
      <c r="A192" s="7" t="s">
        <v>58</v>
      </c>
      <c r="B192" s="2" t="s">
        <v>2476</v>
      </c>
      <c r="C192" s="2" t="s">
        <v>2477</v>
      </c>
      <c r="D192" s="2" t="s">
        <v>2478</v>
      </c>
      <c r="F192" s="3" t="s">
        <v>58</v>
      </c>
      <c r="G192" s="3" t="s">
        <v>59</v>
      </c>
      <c r="H192" s="3" t="s">
        <v>58</v>
      </c>
      <c r="I192" s="3" t="s">
        <v>132</v>
      </c>
      <c r="J192" s="3" t="s">
        <v>60</v>
      </c>
      <c r="K192" s="2" t="s">
        <v>2479</v>
      </c>
      <c r="L192" s="2" t="s">
        <v>1567</v>
      </c>
      <c r="M192" s="3" t="s">
        <v>361</v>
      </c>
      <c r="O192" s="3" t="s">
        <v>65</v>
      </c>
      <c r="P192" s="3" t="s">
        <v>186</v>
      </c>
      <c r="R192" s="3" t="s">
        <v>68</v>
      </c>
      <c r="S192" s="4">
        <v>6</v>
      </c>
      <c r="T192" s="4">
        <v>6</v>
      </c>
      <c r="U192" s="5" t="s">
        <v>2480</v>
      </c>
      <c r="V192" s="5" t="s">
        <v>2480</v>
      </c>
      <c r="W192" s="5" t="s">
        <v>2481</v>
      </c>
      <c r="X192" s="5" t="s">
        <v>2481</v>
      </c>
      <c r="Y192" s="4">
        <v>158</v>
      </c>
      <c r="Z192" s="4">
        <v>140</v>
      </c>
      <c r="AA192" s="4">
        <v>180</v>
      </c>
      <c r="AB192" s="4">
        <v>2</v>
      </c>
      <c r="AC192" s="4">
        <v>2</v>
      </c>
      <c r="AD192" s="4">
        <v>15</v>
      </c>
      <c r="AE192" s="4">
        <v>21</v>
      </c>
      <c r="AF192" s="4">
        <v>4</v>
      </c>
      <c r="AG192" s="4">
        <v>5</v>
      </c>
      <c r="AH192" s="4">
        <v>1</v>
      </c>
      <c r="AI192" s="4">
        <v>4</v>
      </c>
      <c r="AJ192" s="4">
        <v>14</v>
      </c>
      <c r="AK192" s="4">
        <v>19</v>
      </c>
      <c r="AL192" s="4">
        <v>0</v>
      </c>
      <c r="AM192" s="4">
        <v>0</v>
      </c>
      <c r="AN192" s="4">
        <v>0</v>
      </c>
      <c r="AO192" s="4">
        <v>0</v>
      </c>
      <c r="AP192" s="3" t="s">
        <v>58</v>
      </c>
      <c r="AQ192" s="3" t="s">
        <v>58</v>
      </c>
      <c r="AS192" s="6" t="str">
        <f>HYPERLINK("https://creighton-primo.hosted.exlibrisgroup.com/primo-explore/search?tab=default_tab&amp;search_scope=EVERYTHING&amp;vid=01CRU&amp;lang=en_US&amp;offset=0&amp;query=any,contains,991000169209702656","Catalog Record")</f>
        <v>Catalog Record</v>
      </c>
      <c r="AT192" s="6" t="str">
        <f>HYPERLINK("http://www.worldcat.org/oclc/9320589","WorldCat Record")</f>
        <v>WorldCat Record</v>
      </c>
      <c r="AU192" s="3" t="s">
        <v>2482</v>
      </c>
      <c r="AV192" s="3" t="s">
        <v>2483</v>
      </c>
      <c r="AW192" s="3" t="s">
        <v>2484</v>
      </c>
      <c r="AX192" s="3" t="s">
        <v>2484</v>
      </c>
      <c r="AY192" s="3" t="s">
        <v>2485</v>
      </c>
      <c r="AZ192" s="3" t="s">
        <v>75</v>
      </c>
      <c r="BB192" s="3" t="s">
        <v>2486</v>
      </c>
      <c r="BC192" s="3" t="s">
        <v>2487</v>
      </c>
      <c r="BD192" s="3" t="s">
        <v>2488</v>
      </c>
    </row>
    <row r="193" spans="1:56" ht="39" customHeight="1" x14ac:dyDescent="0.25">
      <c r="A193" s="7" t="s">
        <v>58</v>
      </c>
      <c r="B193" s="2" t="s">
        <v>2489</v>
      </c>
      <c r="C193" s="2" t="s">
        <v>2490</v>
      </c>
      <c r="D193" s="2" t="s">
        <v>2491</v>
      </c>
      <c r="F193" s="3" t="s">
        <v>58</v>
      </c>
      <c r="G193" s="3" t="s">
        <v>59</v>
      </c>
      <c r="H193" s="3" t="s">
        <v>58</v>
      </c>
      <c r="I193" s="3" t="s">
        <v>58</v>
      </c>
      <c r="J193" s="3" t="s">
        <v>60</v>
      </c>
      <c r="K193" s="2" t="s">
        <v>2492</v>
      </c>
      <c r="L193" s="2" t="s">
        <v>2357</v>
      </c>
      <c r="M193" s="3" t="s">
        <v>157</v>
      </c>
      <c r="O193" s="3" t="s">
        <v>65</v>
      </c>
      <c r="P193" s="3" t="s">
        <v>2303</v>
      </c>
      <c r="Q193" s="2" t="s">
        <v>2493</v>
      </c>
      <c r="R193" s="3" t="s">
        <v>68</v>
      </c>
      <c r="S193" s="4">
        <v>1</v>
      </c>
      <c r="T193" s="4">
        <v>1</v>
      </c>
      <c r="U193" s="5" t="s">
        <v>2494</v>
      </c>
      <c r="V193" s="5" t="s">
        <v>2494</v>
      </c>
      <c r="W193" s="5" t="s">
        <v>1867</v>
      </c>
      <c r="X193" s="5" t="s">
        <v>1867</v>
      </c>
      <c r="Y193" s="4">
        <v>106</v>
      </c>
      <c r="Z193" s="4">
        <v>90</v>
      </c>
      <c r="AA193" s="4">
        <v>90</v>
      </c>
      <c r="AB193" s="4">
        <v>2</v>
      </c>
      <c r="AC193" s="4">
        <v>2</v>
      </c>
      <c r="AD193" s="4">
        <v>14</v>
      </c>
      <c r="AE193" s="4">
        <v>14</v>
      </c>
      <c r="AF193" s="4">
        <v>5</v>
      </c>
      <c r="AG193" s="4">
        <v>5</v>
      </c>
      <c r="AH193" s="4">
        <v>4</v>
      </c>
      <c r="AI193" s="4">
        <v>4</v>
      </c>
      <c r="AJ193" s="4">
        <v>11</v>
      </c>
      <c r="AK193" s="4">
        <v>11</v>
      </c>
      <c r="AL193" s="4">
        <v>0</v>
      </c>
      <c r="AM193" s="4">
        <v>0</v>
      </c>
      <c r="AN193" s="4">
        <v>0</v>
      </c>
      <c r="AO193" s="4">
        <v>0</v>
      </c>
      <c r="AP193" s="3" t="s">
        <v>58</v>
      </c>
      <c r="AQ193" s="3" t="s">
        <v>58</v>
      </c>
      <c r="AS193" s="6" t="str">
        <f>HYPERLINK("https://creighton-primo.hosted.exlibrisgroup.com/primo-explore/search?tab=default_tab&amp;search_scope=EVERYTHING&amp;vid=01CRU&amp;lang=en_US&amp;offset=0&amp;query=any,contains,991000178279702656","Catalog Record")</f>
        <v>Catalog Record</v>
      </c>
      <c r="AT193" s="6" t="str">
        <f>HYPERLINK("http://www.worldcat.org/oclc/9369574","WorldCat Record")</f>
        <v>WorldCat Record</v>
      </c>
      <c r="AU193" s="3" t="s">
        <v>2495</v>
      </c>
      <c r="AV193" s="3" t="s">
        <v>2496</v>
      </c>
      <c r="AW193" s="3" t="s">
        <v>2497</v>
      </c>
      <c r="AX193" s="3" t="s">
        <v>2497</v>
      </c>
      <c r="AY193" s="3" t="s">
        <v>2498</v>
      </c>
      <c r="AZ193" s="3" t="s">
        <v>75</v>
      </c>
      <c r="BB193" s="3" t="s">
        <v>2499</v>
      </c>
      <c r="BC193" s="3" t="s">
        <v>2500</v>
      </c>
      <c r="BD193" s="3" t="s">
        <v>2501</v>
      </c>
    </row>
    <row r="194" spans="1:56" ht="39" customHeight="1" x14ac:dyDescent="0.25">
      <c r="A194" s="7" t="s">
        <v>58</v>
      </c>
      <c r="B194" s="2" t="s">
        <v>2502</v>
      </c>
      <c r="C194" s="2" t="s">
        <v>2503</v>
      </c>
      <c r="D194" s="2" t="s">
        <v>2504</v>
      </c>
      <c r="F194" s="3" t="s">
        <v>58</v>
      </c>
      <c r="G194" s="3" t="s">
        <v>59</v>
      </c>
      <c r="H194" s="3" t="s">
        <v>58</v>
      </c>
      <c r="I194" s="3" t="s">
        <v>58</v>
      </c>
      <c r="J194" s="3" t="s">
        <v>60</v>
      </c>
      <c r="K194" s="2" t="s">
        <v>2505</v>
      </c>
      <c r="L194" s="2" t="s">
        <v>2506</v>
      </c>
      <c r="M194" s="3" t="s">
        <v>172</v>
      </c>
      <c r="O194" s="3" t="s">
        <v>65</v>
      </c>
      <c r="P194" s="3" t="s">
        <v>245</v>
      </c>
      <c r="Q194" s="2" t="s">
        <v>2507</v>
      </c>
      <c r="R194" s="3" t="s">
        <v>68</v>
      </c>
      <c r="S194" s="4">
        <v>1</v>
      </c>
      <c r="T194" s="4">
        <v>1</v>
      </c>
      <c r="U194" s="5" t="s">
        <v>2508</v>
      </c>
      <c r="V194" s="5" t="s">
        <v>2508</v>
      </c>
      <c r="W194" s="5" t="s">
        <v>2508</v>
      </c>
      <c r="X194" s="5" t="s">
        <v>2508</v>
      </c>
      <c r="Y194" s="4">
        <v>217</v>
      </c>
      <c r="Z194" s="4">
        <v>187</v>
      </c>
      <c r="AA194" s="4">
        <v>194</v>
      </c>
      <c r="AB194" s="4">
        <v>3</v>
      </c>
      <c r="AC194" s="4">
        <v>3</v>
      </c>
      <c r="AD194" s="4">
        <v>22</v>
      </c>
      <c r="AE194" s="4">
        <v>22</v>
      </c>
      <c r="AF194" s="4">
        <v>8</v>
      </c>
      <c r="AG194" s="4">
        <v>8</v>
      </c>
      <c r="AH194" s="4">
        <v>3</v>
      </c>
      <c r="AI194" s="4">
        <v>3</v>
      </c>
      <c r="AJ194" s="4">
        <v>17</v>
      </c>
      <c r="AK194" s="4">
        <v>17</v>
      </c>
      <c r="AL194" s="4">
        <v>1</v>
      </c>
      <c r="AM194" s="4">
        <v>1</v>
      </c>
      <c r="AN194" s="4">
        <v>0</v>
      </c>
      <c r="AO194" s="4">
        <v>0</v>
      </c>
      <c r="AP194" s="3" t="s">
        <v>58</v>
      </c>
      <c r="AQ194" s="3" t="s">
        <v>132</v>
      </c>
      <c r="AR194" s="6" t="str">
        <f>HYPERLINK("http://catalog.hathitrust.org/Record/001927290","HathiTrust Record")</f>
        <v>HathiTrust Record</v>
      </c>
      <c r="AS194" s="6" t="str">
        <f>HYPERLINK("https://creighton-primo.hosted.exlibrisgroup.com/primo-explore/search?tab=default_tab&amp;search_scope=EVERYTHING&amp;vid=01CRU&amp;lang=en_US&amp;offset=0&amp;query=any,contains,991005325789702656","Catalog Record")</f>
        <v>Catalog Record</v>
      </c>
      <c r="AT194" s="6" t="str">
        <f>HYPERLINK("http://www.worldcat.org/oclc/476476","WorldCat Record")</f>
        <v>WorldCat Record</v>
      </c>
      <c r="AU194" s="3" t="s">
        <v>2509</v>
      </c>
      <c r="AV194" s="3" t="s">
        <v>2510</v>
      </c>
      <c r="AW194" s="3" t="s">
        <v>2511</v>
      </c>
      <c r="AX194" s="3" t="s">
        <v>2511</v>
      </c>
      <c r="AY194" s="3" t="s">
        <v>2512</v>
      </c>
      <c r="AZ194" s="3" t="s">
        <v>75</v>
      </c>
      <c r="BB194" s="3" t="s">
        <v>2513</v>
      </c>
      <c r="BC194" s="3" t="s">
        <v>2514</v>
      </c>
      <c r="BD194" s="3" t="s">
        <v>2515</v>
      </c>
    </row>
    <row r="195" spans="1:56" ht="39" customHeight="1" x14ac:dyDescent="0.25">
      <c r="A195" s="7" t="s">
        <v>58</v>
      </c>
      <c r="B195" s="2" t="s">
        <v>2516</v>
      </c>
      <c r="C195" s="2" t="s">
        <v>2517</v>
      </c>
      <c r="D195" s="2" t="s">
        <v>2518</v>
      </c>
      <c r="F195" s="3" t="s">
        <v>58</v>
      </c>
      <c r="G195" s="3" t="s">
        <v>59</v>
      </c>
      <c r="H195" s="3" t="s">
        <v>58</v>
      </c>
      <c r="I195" s="3" t="s">
        <v>58</v>
      </c>
      <c r="J195" s="3" t="s">
        <v>60</v>
      </c>
      <c r="K195" s="2" t="s">
        <v>2519</v>
      </c>
      <c r="L195" s="2" t="s">
        <v>992</v>
      </c>
      <c r="M195" s="3" t="s">
        <v>631</v>
      </c>
      <c r="O195" s="3" t="s">
        <v>65</v>
      </c>
      <c r="P195" s="3" t="s">
        <v>186</v>
      </c>
      <c r="R195" s="3" t="s">
        <v>68</v>
      </c>
      <c r="S195" s="4">
        <v>4</v>
      </c>
      <c r="T195" s="4">
        <v>4</v>
      </c>
      <c r="U195" s="5" t="s">
        <v>2520</v>
      </c>
      <c r="V195" s="5" t="s">
        <v>2520</v>
      </c>
      <c r="W195" s="5" t="s">
        <v>2521</v>
      </c>
      <c r="X195" s="5" t="s">
        <v>2521</v>
      </c>
      <c r="Y195" s="4">
        <v>94</v>
      </c>
      <c r="Z195" s="4">
        <v>89</v>
      </c>
      <c r="AA195" s="4">
        <v>92</v>
      </c>
      <c r="AB195" s="4">
        <v>1</v>
      </c>
      <c r="AC195" s="4">
        <v>1</v>
      </c>
      <c r="AD195" s="4">
        <v>13</v>
      </c>
      <c r="AE195" s="4">
        <v>13</v>
      </c>
      <c r="AF195" s="4">
        <v>4</v>
      </c>
      <c r="AG195" s="4">
        <v>4</v>
      </c>
      <c r="AH195" s="4">
        <v>3</v>
      </c>
      <c r="AI195" s="4">
        <v>3</v>
      </c>
      <c r="AJ195" s="4">
        <v>11</v>
      </c>
      <c r="AK195" s="4">
        <v>11</v>
      </c>
      <c r="AL195" s="4">
        <v>0</v>
      </c>
      <c r="AM195" s="4">
        <v>0</v>
      </c>
      <c r="AN195" s="4">
        <v>0</v>
      </c>
      <c r="AO195" s="4">
        <v>0</v>
      </c>
      <c r="AP195" s="3" t="s">
        <v>58</v>
      </c>
      <c r="AQ195" s="3" t="s">
        <v>58</v>
      </c>
      <c r="AS195" s="6" t="str">
        <f>HYPERLINK("https://creighton-primo.hosted.exlibrisgroup.com/primo-explore/search?tab=default_tab&amp;search_scope=EVERYTHING&amp;vid=01CRU&amp;lang=en_US&amp;offset=0&amp;query=any,contains,991003788739702656","Catalog Record")</f>
        <v>Catalog Record</v>
      </c>
      <c r="AT195" s="6" t="str">
        <f>HYPERLINK("http://www.worldcat.org/oclc/1505374","WorldCat Record")</f>
        <v>WorldCat Record</v>
      </c>
      <c r="AU195" s="3" t="s">
        <v>2522</v>
      </c>
      <c r="AV195" s="3" t="s">
        <v>2523</v>
      </c>
      <c r="AW195" s="3" t="s">
        <v>2524</v>
      </c>
      <c r="AX195" s="3" t="s">
        <v>2524</v>
      </c>
      <c r="AY195" s="3" t="s">
        <v>2525</v>
      </c>
      <c r="AZ195" s="3" t="s">
        <v>75</v>
      </c>
      <c r="BB195" s="3" t="s">
        <v>2526</v>
      </c>
      <c r="BC195" s="3" t="s">
        <v>2527</v>
      </c>
      <c r="BD195" s="3" t="s">
        <v>2528</v>
      </c>
    </row>
    <row r="196" spans="1:56" ht="39" customHeight="1" x14ac:dyDescent="0.25">
      <c r="A196" s="7" t="s">
        <v>58</v>
      </c>
      <c r="B196" s="2" t="s">
        <v>2529</v>
      </c>
      <c r="C196" s="2" t="s">
        <v>2530</v>
      </c>
      <c r="D196" s="2" t="s">
        <v>2531</v>
      </c>
      <c r="F196" s="3" t="s">
        <v>58</v>
      </c>
      <c r="G196" s="3" t="s">
        <v>59</v>
      </c>
      <c r="H196" s="3" t="s">
        <v>58</v>
      </c>
      <c r="I196" s="3" t="s">
        <v>58</v>
      </c>
      <c r="J196" s="3" t="s">
        <v>60</v>
      </c>
      <c r="K196" s="2" t="s">
        <v>2532</v>
      </c>
      <c r="L196" s="2" t="s">
        <v>2533</v>
      </c>
      <c r="M196" s="3" t="s">
        <v>1424</v>
      </c>
      <c r="O196" s="3" t="s">
        <v>65</v>
      </c>
      <c r="P196" s="3" t="s">
        <v>967</v>
      </c>
      <c r="R196" s="3" t="s">
        <v>68</v>
      </c>
      <c r="S196" s="4">
        <v>3</v>
      </c>
      <c r="T196" s="4">
        <v>3</v>
      </c>
      <c r="U196" s="5" t="s">
        <v>2244</v>
      </c>
      <c r="V196" s="5" t="s">
        <v>2244</v>
      </c>
      <c r="W196" s="5" t="s">
        <v>1867</v>
      </c>
      <c r="X196" s="5" t="s">
        <v>1867</v>
      </c>
      <c r="Y196" s="4">
        <v>89</v>
      </c>
      <c r="Z196" s="4">
        <v>78</v>
      </c>
      <c r="AA196" s="4">
        <v>79</v>
      </c>
      <c r="AB196" s="4">
        <v>3</v>
      </c>
      <c r="AC196" s="4">
        <v>3</v>
      </c>
      <c r="AD196" s="4">
        <v>11</v>
      </c>
      <c r="AE196" s="4">
        <v>11</v>
      </c>
      <c r="AF196" s="4">
        <v>1</v>
      </c>
      <c r="AG196" s="4">
        <v>1</v>
      </c>
      <c r="AH196" s="4">
        <v>2</v>
      </c>
      <c r="AI196" s="4">
        <v>2</v>
      </c>
      <c r="AJ196" s="4">
        <v>9</v>
      </c>
      <c r="AK196" s="4">
        <v>9</v>
      </c>
      <c r="AL196" s="4">
        <v>0</v>
      </c>
      <c r="AM196" s="4">
        <v>0</v>
      </c>
      <c r="AN196" s="4">
        <v>0</v>
      </c>
      <c r="AO196" s="4">
        <v>0</v>
      </c>
      <c r="AP196" s="3" t="s">
        <v>58</v>
      </c>
      <c r="AQ196" s="3" t="s">
        <v>58</v>
      </c>
      <c r="AS196" s="6" t="str">
        <f>HYPERLINK("https://creighton-primo.hosted.exlibrisgroup.com/primo-explore/search?tab=default_tab&amp;search_scope=EVERYTHING&amp;vid=01CRU&amp;lang=en_US&amp;offset=0&amp;query=any,contains,991003862289702656","Catalog Record")</f>
        <v>Catalog Record</v>
      </c>
      <c r="AT196" s="6" t="str">
        <f>HYPERLINK("http://www.worldcat.org/oclc/1669238","WorldCat Record")</f>
        <v>WorldCat Record</v>
      </c>
      <c r="AU196" s="3" t="s">
        <v>2534</v>
      </c>
      <c r="AV196" s="3" t="s">
        <v>2535</v>
      </c>
      <c r="AW196" s="3" t="s">
        <v>2536</v>
      </c>
      <c r="AX196" s="3" t="s">
        <v>2536</v>
      </c>
      <c r="AY196" s="3" t="s">
        <v>2537</v>
      </c>
      <c r="AZ196" s="3" t="s">
        <v>75</v>
      </c>
      <c r="BC196" s="3" t="s">
        <v>2538</v>
      </c>
      <c r="BD196" s="3" t="s">
        <v>2539</v>
      </c>
    </row>
    <row r="197" spans="1:56" ht="39" customHeight="1" x14ac:dyDescent="0.25">
      <c r="A197" s="7" t="s">
        <v>58</v>
      </c>
      <c r="B197" s="2" t="s">
        <v>2540</v>
      </c>
      <c r="C197" s="2" t="s">
        <v>2541</v>
      </c>
      <c r="D197" s="2" t="s">
        <v>2542</v>
      </c>
      <c r="F197" s="3" t="s">
        <v>58</v>
      </c>
      <c r="G197" s="3" t="s">
        <v>59</v>
      </c>
      <c r="H197" s="3" t="s">
        <v>58</v>
      </c>
      <c r="I197" s="3" t="s">
        <v>58</v>
      </c>
      <c r="J197" s="3" t="s">
        <v>60</v>
      </c>
      <c r="K197" s="2" t="s">
        <v>2543</v>
      </c>
      <c r="L197" s="2" t="s">
        <v>2544</v>
      </c>
      <c r="M197" s="3" t="s">
        <v>215</v>
      </c>
      <c r="O197" s="3" t="s">
        <v>65</v>
      </c>
      <c r="P197" s="3" t="s">
        <v>245</v>
      </c>
      <c r="R197" s="3" t="s">
        <v>68</v>
      </c>
      <c r="S197" s="4">
        <v>1</v>
      </c>
      <c r="T197" s="4">
        <v>1</v>
      </c>
      <c r="U197" s="5" t="s">
        <v>2545</v>
      </c>
      <c r="V197" s="5" t="s">
        <v>2545</v>
      </c>
      <c r="W197" s="5" t="s">
        <v>1867</v>
      </c>
      <c r="X197" s="5" t="s">
        <v>1867</v>
      </c>
      <c r="Y197" s="4">
        <v>63</v>
      </c>
      <c r="Z197" s="4">
        <v>60</v>
      </c>
      <c r="AA197" s="4">
        <v>60</v>
      </c>
      <c r="AB197" s="4">
        <v>1</v>
      </c>
      <c r="AC197" s="4">
        <v>1</v>
      </c>
      <c r="AD197" s="4">
        <v>6</v>
      </c>
      <c r="AE197" s="4">
        <v>6</v>
      </c>
      <c r="AF197" s="4">
        <v>1</v>
      </c>
      <c r="AG197" s="4">
        <v>1</v>
      </c>
      <c r="AH197" s="4">
        <v>1</v>
      </c>
      <c r="AI197" s="4">
        <v>1</v>
      </c>
      <c r="AJ197" s="4">
        <v>4</v>
      </c>
      <c r="AK197" s="4">
        <v>4</v>
      </c>
      <c r="AL197" s="4">
        <v>0</v>
      </c>
      <c r="AM197" s="4">
        <v>0</v>
      </c>
      <c r="AN197" s="4">
        <v>0</v>
      </c>
      <c r="AO197" s="4">
        <v>0</v>
      </c>
      <c r="AP197" s="3" t="s">
        <v>58</v>
      </c>
      <c r="AQ197" s="3" t="s">
        <v>58</v>
      </c>
      <c r="AS197" s="6" t="str">
        <f>HYPERLINK("https://creighton-primo.hosted.exlibrisgroup.com/primo-explore/search?tab=default_tab&amp;search_scope=EVERYTHING&amp;vid=01CRU&amp;lang=en_US&amp;offset=0&amp;query=any,contains,991001106309702656","Catalog Record")</f>
        <v>Catalog Record</v>
      </c>
      <c r="AT197" s="6" t="str">
        <f>HYPERLINK("http://www.worldcat.org/oclc/16405520","WorldCat Record")</f>
        <v>WorldCat Record</v>
      </c>
      <c r="AU197" s="3" t="s">
        <v>2546</v>
      </c>
      <c r="AV197" s="3" t="s">
        <v>2547</v>
      </c>
      <c r="AW197" s="3" t="s">
        <v>2548</v>
      </c>
      <c r="AX197" s="3" t="s">
        <v>2548</v>
      </c>
      <c r="AY197" s="3" t="s">
        <v>2549</v>
      </c>
      <c r="AZ197" s="3" t="s">
        <v>75</v>
      </c>
      <c r="BB197" s="3" t="s">
        <v>2550</v>
      </c>
      <c r="BC197" s="3" t="s">
        <v>2551</v>
      </c>
      <c r="BD197" s="3" t="s">
        <v>2552</v>
      </c>
    </row>
    <row r="198" spans="1:56" ht="39" customHeight="1" x14ac:dyDescent="0.25">
      <c r="A198" s="7" t="s">
        <v>58</v>
      </c>
      <c r="B198" s="2" t="s">
        <v>2553</v>
      </c>
      <c r="C198" s="2" t="s">
        <v>2554</v>
      </c>
      <c r="D198" s="2" t="s">
        <v>2555</v>
      </c>
      <c r="F198" s="3" t="s">
        <v>58</v>
      </c>
      <c r="G198" s="3" t="s">
        <v>59</v>
      </c>
      <c r="H198" s="3" t="s">
        <v>58</v>
      </c>
      <c r="I198" s="3" t="s">
        <v>58</v>
      </c>
      <c r="J198" s="3" t="s">
        <v>60</v>
      </c>
      <c r="K198" s="2" t="s">
        <v>2556</v>
      </c>
      <c r="L198" s="2" t="s">
        <v>2557</v>
      </c>
      <c r="M198" s="3" t="s">
        <v>631</v>
      </c>
      <c r="N198" s="2" t="s">
        <v>2558</v>
      </c>
      <c r="O198" s="3" t="s">
        <v>65</v>
      </c>
      <c r="P198" s="3" t="s">
        <v>186</v>
      </c>
      <c r="Q198" s="2" t="s">
        <v>1033</v>
      </c>
      <c r="R198" s="3" t="s">
        <v>68</v>
      </c>
      <c r="S198" s="4">
        <v>3</v>
      </c>
      <c r="T198" s="4">
        <v>3</v>
      </c>
      <c r="U198" s="5" t="s">
        <v>2559</v>
      </c>
      <c r="V198" s="5" t="s">
        <v>2559</v>
      </c>
      <c r="W198" s="5" t="s">
        <v>1867</v>
      </c>
      <c r="X198" s="5" t="s">
        <v>1867</v>
      </c>
      <c r="Y198" s="4">
        <v>37</v>
      </c>
      <c r="Z198" s="4">
        <v>34</v>
      </c>
      <c r="AA198" s="4">
        <v>95</v>
      </c>
      <c r="AB198" s="4">
        <v>1</v>
      </c>
      <c r="AC198" s="4">
        <v>2</v>
      </c>
      <c r="AD198" s="4">
        <v>3</v>
      </c>
      <c r="AE198" s="4">
        <v>9</v>
      </c>
      <c r="AF198" s="4">
        <v>0</v>
      </c>
      <c r="AG198" s="4">
        <v>1</v>
      </c>
      <c r="AH198" s="4">
        <v>1</v>
      </c>
      <c r="AI198" s="4">
        <v>2</v>
      </c>
      <c r="AJ198" s="4">
        <v>2</v>
      </c>
      <c r="AK198" s="4">
        <v>7</v>
      </c>
      <c r="AL198" s="4">
        <v>0</v>
      </c>
      <c r="AM198" s="4">
        <v>0</v>
      </c>
      <c r="AN198" s="4">
        <v>0</v>
      </c>
      <c r="AO198" s="4">
        <v>0</v>
      </c>
      <c r="AP198" s="3" t="s">
        <v>58</v>
      </c>
      <c r="AQ198" s="3" t="s">
        <v>58</v>
      </c>
      <c r="AS198" s="6" t="str">
        <f>HYPERLINK("https://creighton-primo.hosted.exlibrisgroup.com/primo-explore/search?tab=default_tab&amp;search_scope=EVERYTHING&amp;vid=01CRU&amp;lang=en_US&amp;offset=0&amp;query=any,contains,991004308189702656","Catalog Record")</f>
        <v>Catalog Record</v>
      </c>
      <c r="AT198" s="6" t="str">
        <f>HYPERLINK("http://www.worldcat.org/oclc/2985248","WorldCat Record")</f>
        <v>WorldCat Record</v>
      </c>
      <c r="AU198" s="3" t="s">
        <v>2560</v>
      </c>
      <c r="AV198" s="3" t="s">
        <v>2561</v>
      </c>
      <c r="AW198" s="3" t="s">
        <v>2562</v>
      </c>
      <c r="AX198" s="3" t="s">
        <v>2562</v>
      </c>
      <c r="AY198" s="3" t="s">
        <v>2563</v>
      </c>
      <c r="AZ198" s="3" t="s">
        <v>75</v>
      </c>
      <c r="BB198" s="3" t="s">
        <v>2564</v>
      </c>
      <c r="BC198" s="3" t="s">
        <v>2565</v>
      </c>
      <c r="BD198" s="3" t="s">
        <v>2566</v>
      </c>
    </row>
    <row r="199" spans="1:56" ht="39" customHeight="1" x14ac:dyDescent="0.25">
      <c r="A199" s="7" t="s">
        <v>58</v>
      </c>
      <c r="B199" s="2" t="s">
        <v>2567</v>
      </c>
      <c r="C199" s="2" t="s">
        <v>2568</v>
      </c>
      <c r="D199" s="2" t="s">
        <v>2569</v>
      </c>
      <c r="F199" s="3" t="s">
        <v>58</v>
      </c>
      <c r="G199" s="3" t="s">
        <v>59</v>
      </c>
      <c r="H199" s="3" t="s">
        <v>58</v>
      </c>
      <c r="I199" s="3" t="s">
        <v>58</v>
      </c>
      <c r="J199" s="3" t="s">
        <v>60</v>
      </c>
      <c r="K199" s="2" t="s">
        <v>2570</v>
      </c>
      <c r="L199" s="2" t="s">
        <v>2571</v>
      </c>
      <c r="M199" s="3" t="s">
        <v>229</v>
      </c>
      <c r="O199" s="3" t="s">
        <v>65</v>
      </c>
      <c r="P199" s="3" t="s">
        <v>186</v>
      </c>
      <c r="R199" s="3" t="s">
        <v>68</v>
      </c>
      <c r="S199" s="4">
        <v>2</v>
      </c>
      <c r="T199" s="4">
        <v>2</v>
      </c>
      <c r="U199" s="5" t="s">
        <v>2572</v>
      </c>
      <c r="V199" s="5" t="s">
        <v>2572</v>
      </c>
      <c r="W199" s="5" t="s">
        <v>1034</v>
      </c>
      <c r="X199" s="5" t="s">
        <v>1034</v>
      </c>
      <c r="Y199" s="4">
        <v>96</v>
      </c>
      <c r="Z199" s="4">
        <v>84</v>
      </c>
      <c r="AA199" s="4">
        <v>84</v>
      </c>
      <c r="AB199" s="4">
        <v>1</v>
      </c>
      <c r="AC199" s="4">
        <v>1</v>
      </c>
      <c r="AD199" s="4">
        <v>7</v>
      </c>
      <c r="AE199" s="4">
        <v>7</v>
      </c>
      <c r="AF199" s="4">
        <v>2</v>
      </c>
      <c r="AG199" s="4">
        <v>2</v>
      </c>
      <c r="AH199" s="4">
        <v>1</v>
      </c>
      <c r="AI199" s="4">
        <v>1</v>
      </c>
      <c r="AJ199" s="4">
        <v>5</v>
      </c>
      <c r="AK199" s="4">
        <v>5</v>
      </c>
      <c r="AL199" s="4">
        <v>0</v>
      </c>
      <c r="AM199" s="4">
        <v>0</v>
      </c>
      <c r="AN199" s="4">
        <v>0</v>
      </c>
      <c r="AO199" s="4">
        <v>0</v>
      </c>
      <c r="AP199" s="3" t="s">
        <v>58</v>
      </c>
      <c r="AQ199" s="3" t="s">
        <v>58</v>
      </c>
      <c r="AS199" s="6" t="str">
        <f>HYPERLINK("https://creighton-primo.hosted.exlibrisgroup.com/primo-explore/search?tab=default_tab&amp;search_scope=EVERYTHING&amp;vid=01CRU&amp;lang=en_US&amp;offset=0&amp;query=any,contains,991005090549702656","Catalog Record")</f>
        <v>Catalog Record</v>
      </c>
      <c r="AT199" s="6" t="str">
        <f>HYPERLINK("http://www.worldcat.org/oclc/18559552","WorldCat Record")</f>
        <v>WorldCat Record</v>
      </c>
      <c r="AU199" s="3" t="s">
        <v>2573</v>
      </c>
      <c r="AV199" s="3" t="s">
        <v>2574</v>
      </c>
      <c r="AW199" s="3" t="s">
        <v>2575</v>
      </c>
      <c r="AX199" s="3" t="s">
        <v>2575</v>
      </c>
      <c r="AY199" s="3" t="s">
        <v>2576</v>
      </c>
      <c r="AZ199" s="3" t="s">
        <v>75</v>
      </c>
      <c r="BB199" s="3" t="s">
        <v>2577</v>
      </c>
      <c r="BC199" s="3" t="s">
        <v>2578</v>
      </c>
      <c r="BD199" s="3" t="s">
        <v>2579</v>
      </c>
    </row>
    <row r="200" spans="1:56" ht="39" customHeight="1" x14ac:dyDescent="0.25">
      <c r="A200" s="7" t="s">
        <v>58</v>
      </c>
      <c r="B200" s="2" t="s">
        <v>2580</v>
      </c>
      <c r="C200" s="2" t="s">
        <v>2581</v>
      </c>
      <c r="D200" s="2" t="s">
        <v>2582</v>
      </c>
      <c r="F200" s="3" t="s">
        <v>58</v>
      </c>
      <c r="G200" s="3" t="s">
        <v>59</v>
      </c>
      <c r="H200" s="3" t="s">
        <v>58</v>
      </c>
      <c r="I200" s="3" t="s">
        <v>58</v>
      </c>
      <c r="J200" s="3" t="s">
        <v>60</v>
      </c>
      <c r="K200" s="2" t="s">
        <v>2583</v>
      </c>
      <c r="L200" s="2" t="s">
        <v>2584</v>
      </c>
      <c r="M200" s="3" t="s">
        <v>215</v>
      </c>
      <c r="N200" s="2" t="s">
        <v>476</v>
      </c>
      <c r="O200" s="3" t="s">
        <v>65</v>
      </c>
      <c r="P200" s="3" t="s">
        <v>186</v>
      </c>
      <c r="R200" s="3" t="s">
        <v>68</v>
      </c>
      <c r="S200" s="4">
        <v>2</v>
      </c>
      <c r="T200" s="4">
        <v>2</v>
      </c>
      <c r="U200" s="5" t="s">
        <v>2585</v>
      </c>
      <c r="V200" s="5" t="s">
        <v>2585</v>
      </c>
      <c r="W200" s="5" t="s">
        <v>1867</v>
      </c>
      <c r="X200" s="5" t="s">
        <v>1867</v>
      </c>
      <c r="Y200" s="4">
        <v>121</v>
      </c>
      <c r="Z200" s="4">
        <v>107</v>
      </c>
      <c r="AA200" s="4">
        <v>114</v>
      </c>
      <c r="AB200" s="4">
        <v>3</v>
      </c>
      <c r="AC200" s="4">
        <v>3</v>
      </c>
      <c r="AD200" s="4">
        <v>10</v>
      </c>
      <c r="AE200" s="4">
        <v>10</v>
      </c>
      <c r="AF200" s="4">
        <v>2</v>
      </c>
      <c r="AG200" s="4">
        <v>2</v>
      </c>
      <c r="AH200" s="4">
        <v>2</v>
      </c>
      <c r="AI200" s="4">
        <v>2</v>
      </c>
      <c r="AJ200" s="4">
        <v>8</v>
      </c>
      <c r="AK200" s="4">
        <v>8</v>
      </c>
      <c r="AL200" s="4">
        <v>1</v>
      </c>
      <c r="AM200" s="4">
        <v>1</v>
      </c>
      <c r="AN200" s="4">
        <v>0</v>
      </c>
      <c r="AO200" s="4">
        <v>0</v>
      </c>
      <c r="AP200" s="3" t="s">
        <v>58</v>
      </c>
      <c r="AQ200" s="3" t="s">
        <v>58</v>
      </c>
      <c r="AS200" s="6" t="str">
        <f>HYPERLINK("https://creighton-primo.hosted.exlibrisgroup.com/primo-explore/search?tab=default_tab&amp;search_scope=EVERYTHING&amp;vid=01CRU&amp;lang=en_US&amp;offset=0&amp;query=any,contains,991001019539702656","Catalog Record")</f>
        <v>Catalog Record</v>
      </c>
      <c r="AT200" s="6" t="str">
        <f>HYPERLINK("http://www.worldcat.org/oclc/15365982","WorldCat Record")</f>
        <v>WorldCat Record</v>
      </c>
      <c r="AU200" s="3" t="s">
        <v>2586</v>
      </c>
      <c r="AV200" s="3" t="s">
        <v>2587</v>
      </c>
      <c r="AW200" s="3" t="s">
        <v>2588</v>
      </c>
      <c r="AX200" s="3" t="s">
        <v>2588</v>
      </c>
      <c r="AY200" s="3" t="s">
        <v>2589</v>
      </c>
      <c r="AZ200" s="3" t="s">
        <v>75</v>
      </c>
      <c r="BB200" s="3" t="s">
        <v>2590</v>
      </c>
      <c r="BC200" s="3" t="s">
        <v>2591</v>
      </c>
      <c r="BD200" s="3" t="s">
        <v>2592</v>
      </c>
    </row>
    <row r="201" spans="1:56" ht="39" customHeight="1" x14ac:dyDescent="0.25">
      <c r="A201" s="7" t="s">
        <v>58</v>
      </c>
      <c r="B201" s="2" t="s">
        <v>2593</v>
      </c>
      <c r="C201" s="2" t="s">
        <v>2594</v>
      </c>
      <c r="D201" s="2" t="s">
        <v>2595</v>
      </c>
      <c r="F201" s="3" t="s">
        <v>58</v>
      </c>
      <c r="G201" s="3" t="s">
        <v>59</v>
      </c>
      <c r="H201" s="3" t="s">
        <v>58</v>
      </c>
      <c r="I201" s="3" t="s">
        <v>58</v>
      </c>
      <c r="J201" s="3" t="s">
        <v>60</v>
      </c>
      <c r="K201" s="2" t="s">
        <v>2596</v>
      </c>
      <c r="L201" s="2" t="s">
        <v>2597</v>
      </c>
      <c r="M201" s="3" t="s">
        <v>1621</v>
      </c>
      <c r="O201" s="3" t="s">
        <v>65</v>
      </c>
      <c r="P201" s="3" t="s">
        <v>492</v>
      </c>
      <c r="R201" s="3" t="s">
        <v>68</v>
      </c>
      <c r="S201" s="4">
        <v>7</v>
      </c>
      <c r="T201" s="4">
        <v>7</v>
      </c>
      <c r="U201" s="5" t="s">
        <v>2598</v>
      </c>
      <c r="V201" s="5" t="s">
        <v>2598</v>
      </c>
      <c r="W201" s="5" t="s">
        <v>1867</v>
      </c>
      <c r="X201" s="5" t="s">
        <v>1867</v>
      </c>
      <c r="Y201" s="4">
        <v>21</v>
      </c>
      <c r="Z201" s="4">
        <v>18</v>
      </c>
      <c r="AA201" s="4">
        <v>18</v>
      </c>
      <c r="AB201" s="4">
        <v>1</v>
      </c>
      <c r="AC201" s="4">
        <v>1</v>
      </c>
      <c r="AD201" s="4">
        <v>3</v>
      </c>
      <c r="AE201" s="4">
        <v>3</v>
      </c>
      <c r="AF201" s="4">
        <v>0</v>
      </c>
      <c r="AG201" s="4">
        <v>0</v>
      </c>
      <c r="AH201" s="4">
        <v>0</v>
      </c>
      <c r="AI201" s="4">
        <v>0</v>
      </c>
      <c r="AJ201" s="4">
        <v>3</v>
      </c>
      <c r="AK201" s="4">
        <v>3</v>
      </c>
      <c r="AL201" s="4">
        <v>0</v>
      </c>
      <c r="AM201" s="4">
        <v>0</v>
      </c>
      <c r="AN201" s="4">
        <v>0</v>
      </c>
      <c r="AO201" s="4">
        <v>0</v>
      </c>
      <c r="AP201" s="3" t="s">
        <v>58</v>
      </c>
      <c r="AQ201" s="3" t="s">
        <v>58</v>
      </c>
      <c r="AS201" s="6" t="str">
        <f>HYPERLINK("https://creighton-primo.hosted.exlibrisgroup.com/primo-explore/search?tab=default_tab&amp;search_scope=EVERYTHING&amp;vid=01CRU&amp;lang=en_US&amp;offset=0&amp;query=any,contains,991003879579702656","Catalog Record")</f>
        <v>Catalog Record</v>
      </c>
      <c r="AT201" s="6" t="str">
        <f>HYPERLINK("http://www.worldcat.org/oclc/1720124","WorldCat Record")</f>
        <v>WorldCat Record</v>
      </c>
      <c r="AU201" s="3" t="s">
        <v>2599</v>
      </c>
      <c r="AV201" s="3" t="s">
        <v>2600</v>
      </c>
      <c r="AW201" s="3" t="s">
        <v>2601</v>
      </c>
      <c r="AX201" s="3" t="s">
        <v>2601</v>
      </c>
      <c r="AY201" s="3" t="s">
        <v>2602</v>
      </c>
      <c r="AZ201" s="3" t="s">
        <v>75</v>
      </c>
      <c r="BC201" s="3" t="s">
        <v>2603</v>
      </c>
      <c r="BD201" s="3" t="s">
        <v>2604</v>
      </c>
    </row>
    <row r="202" spans="1:56" ht="39" customHeight="1" x14ac:dyDescent="0.25">
      <c r="A202" s="7" t="s">
        <v>58</v>
      </c>
      <c r="B202" s="2" t="s">
        <v>2605</v>
      </c>
      <c r="C202" s="2" t="s">
        <v>2606</v>
      </c>
      <c r="D202" s="2" t="s">
        <v>2607</v>
      </c>
      <c r="F202" s="3" t="s">
        <v>58</v>
      </c>
      <c r="G202" s="3" t="s">
        <v>59</v>
      </c>
      <c r="H202" s="3" t="s">
        <v>58</v>
      </c>
      <c r="I202" s="3" t="s">
        <v>58</v>
      </c>
      <c r="J202" s="3" t="s">
        <v>60</v>
      </c>
      <c r="K202" s="2" t="s">
        <v>2608</v>
      </c>
      <c r="L202" s="2" t="s">
        <v>2609</v>
      </c>
      <c r="M202" s="3" t="s">
        <v>655</v>
      </c>
      <c r="O202" s="3" t="s">
        <v>65</v>
      </c>
      <c r="P202" s="3" t="s">
        <v>113</v>
      </c>
      <c r="Q202" s="2" t="s">
        <v>2610</v>
      </c>
      <c r="R202" s="3" t="s">
        <v>68</v>
      </c>
      <c r="S202" s="4">
        <v>1</v>
      </c>
      <c r="T202" s="4">
        <v>1</v>
      </c>
      <c r="U202" s="5" t="s">
        <v>2611</v>
      </c>
      <c r="V202" s="5" t="s">
        <v>2611</v>
      </c>
      <c r="W202" s="5" t="s">
        <v>2612</v>
      </c>
      <c r="X202" s="5" t="s">
        <v>2612</v>
      </c>
      <c r="Y202" s="4">
        <v>103</v>
      </c>
      <c r="Z202" s="4">
        <v>96</v>
      </c>
      <c r="AA202" s="4">
        <v>381</v>
      </c>
      <c r="AB202" s="4">
        <v>2</v>
      </c>
      <c r="AC202" s="4">
        <v>4</v>
      </c>
      <c r="AD202" s="4">
        <v>9</v>
      </c>
      <c r="AE202" s="4">
        <v>32</v>
      </c>
      <c r="AF202" s="4">
        <v>2</v>
      </c>
      <c r="AG202" s="4">
        <v>9</v>
      </c>
      <c r="AH202" s="4">
        <v>3</v>
      </c>
      <c r="AI202" s="4">
        <v>10</v>
      </c>
      <c r="AJ202" s="4">
        <v>4</v>
      </c>
      <c r="AK202" s="4">
        <v>19</v>
      </c>
      <c r="AL202" s="4">
        <v>1</v>
      </c>
      <c r="AM202" s="4">
        <v>2</v>
      </c>
      <c r="AN202" s="4">
        <v>0</v>
      </c>
      <c r="AO202" s="4">
        <v>0</v>
      </c>
      <c r="AP202" s="3" t="s">
        <v>58</v>
      </c>
      <c r="AQ202" s="3" t="s">
        <v>58</v>
      </c>
      <c r="AS202" s="6" t="str">
        <f>HYPERLINK("https://creighton-primo.hosted.exlibrisgroup.com/primo-explore/search?tab=default_tab&amp;search_scope=EVERYTHING&amp;vid=01CRU&amp;lang=en_US&amp;offset=0&amp;query=any,contains,991003926019702656","Catalog Record")</f>
        <v>Catalog Record</v>
      </c>
      <c r="AT202" s="6" t="str">
        <f>HYPERLINK("http://www.worldcat.org/oclc/1882987","WorldCat Record")</f>
        <v>WorldCat Record</v>
      </c>
      <c r="AU202" s="3" t="s">
        <v>2613</v>
      </c>
      <c r="AV202" s="3" t="s">
        <v>2614</v>
      </c>
      <c r="AW202" s="3" t="s">
        <v>2615</v>
      </c>
      <c r="AX202" s="3" t="s">
        <v>2615</v>
      </c>
      <c r="AY202" s="3" t="s">
        <v>2616</v>
      </c>
      <c r="AZ202" s="3" t="s">
        <v>75</v>
      </c>
      <c r="BC202" s="3" t="s">
        <v>2617</v>
      </c>
      <c r="BD202" s="3" t="s">
        <v>2618</v>
      </c>
    </row>
    <row r="203" spans="1:56" ht="39" customHeight="1" x14ac:dyDescent="0.25">
      <c r="A203" s="7" t="s">
        <v>58</v>
      </c>
      <c r="B203" s="2" t="s">
        <v>2619</v>
      </c>
      <c r="C203" s="2" t="s">
        <v>2620</v>
      </c>
      <c r="D203" s="2" t="s">
        <v>2621</v>
      </c>
      <c r="F203" s="3" t="s">
        <v>58</v>
      </c>
      <c r="G203" s="3" t="s">
        <v>59</v>
      </c>
      <c r="H203" s="3" t="s">
        <v>58</v>
      </c>
      <c r="I203" s="3" t="s">
        <v>58</v>
      </c>
      <c r="J203" s="3" t="s">
        <v>60</v>
      </c>
      <c r="K203" s="2" t="s">
        <v>2622</v>
      </c>
      <c r="L203" s="2" t="s">
        <v>2623</v>
      </c>
      <c r="M203" s="3" t="s">
        <v>144</v>
      </c>
      <c r="O203" s="3" t="s">
        <v>65</v>
      </c>
      <c r="P203" s="3" t="s">
        <v>492</v>
      </c>
      <c r="R203" s="3" t="s">
        <v>68</v>
      </c>
      <c r="S203" s="4">
        <v>6</v>
      </c>
      <c r="T203" s="4">
        <v>6</v>
      </c>
      <c r="U203" s="5" t="s">
        <v>2624</v>
      </c>
      <c r="V203" s="5" t="s">
        <v>2624</v>
      </c>
      <c r="W203" s="5" t="s">
        <v>2625</v>
      </c>
      <c r="X203" s="5" t="s">
        <v>2625</v>
      </c>
      <c r="Y203" s="4">
        <v>9</v>
      </c>
      <c r="Z203" s="4">
        <v>9</v>
      </c>
      <c r="AA203" s="4">
        <v>10</v>
      </c>
      <c r="AB203" s="4">
        <v>1</v>
      </c>
      <c r="AC203" s="4">
        <v>1</v>
      </c>
      <c r="AD203" s="4">
        <v>2</v>
      </c>
      <c r="AE203" s="4">
        <v>2</v>
      </c>
      <c r="AF203" s="4">
        <v>0</v>
      </c>
      <c r="AG203" s="4">
        <v>0</v>
      </c>
      <c r="AH203" s="4">
        <v>0</v>
      </c>
      <c r="AI203" s="4">
        <v>0</v>
      </c>
      <c r="AJ203" s="4">
        <v>2</v>
      </c>
      <c r="AK203" s="4">
        <v>2</v>
      </c>
      <c r="AL203" s="4">
        <v>0</v>
      </c>
      <c r="AM203" s="4">
        <v>0</v>
      </c>
      <c r="AN203" s="4">
        <v>0</v>
      </c>
      <c r="AO203" s="4">
        <v>0</v>
      </c>
      <c r="AP203" s="3" t="s">
        <v>58</v>
      </c>
      <c r="AQ203" s="3" t="s">
        <v>58</v>
      </c>
      <c r="AS203" s="6" t="str">
        <f>HYPERLINK("https://creighton-primo.hosted.exlibrisgroup.com/primo-explore/search?tab=default_tab&amp;search_scope=EVERYTHING&amp;vid=01CRU&amp;lang=en_US&amp;offset=0&amp;query=any,contains,991005085349702656","Catalog Record")</f>
        <v>Catalog Record</v>
      </c>
      <c r="AT203" s="6" t="str">
        <f>HYPERLINK("http://www.worldcat.org/oclc/7192501","WorldCat Record")</f>
        <v>WorldCat Record</v>
      </c>
      <c r="AU203" s="3" t="s">
        <v>2626</v>
      </c>
      <c r="AV203" s="3" t="s">
        <v>2627</v>
      </c>
      <c r="AW203" s="3" t="s">
        <v>2628</v>
      </c>
      <c r="AX203" s="3" t="s">
        <v>2628</v>
      </c>
      <c r="AY203" s="3" t="s">
        <v>2629</v>
      </c>
      <c r="AZ203" s="3" t="s">
        <v>75</v>
      </c>
      <c r="BC203" s="3" t="s">
        <v>2630</v>
      </c>
      <c r="BD203" s="3" t="s">
        <v>2631</v>
      </c>
    </row>
    <row r="204" spans="1:56" ht="39" customHeight="1" x14ac:dyDescent="0.25">
      <c r="A204" s="7" t="s">
        <v>58</v>
      </c>
      <c r="B204" s="2" t="s">
        <v>2632</v>
      </c>
      <c r="C204" s="2" t="s">
        <v>2633</v>
      </c>
      <c r="D204" s="2" t="s">
        <v>2634</v>
      </c>
      <c r="F204" s="3" t="s">
        <v>58</v>
      </c>
      <c r="G204" s="3" t="s">
        <v>59</v>
      </c>
      <c r="H204" s="3" t="s">
        <v>58</v>
      </c>
      <c r="I204" s="3" t="s">
        <v>58</v>
      </c>
      <c r="J204" s="3" t="s">
        <v>60</v>
      </c>
      <c r="K204" s="2" t="s">
        <v>2635</v>
      </c>
      <c r="L204" s="2" t="s">
        <v>2636</v>
      </c>
      <c r="M204" s="3" t="s">
        <v>1621</v>
      </c>
      <c r="N204" s="2" t="s">
        <v>476</v>
      </c>
      <c r="O204" s="3" t="s">
        <v>65</v>
      </c>
      <c r="P204" s="3" t="s">
        <v>186</v>
      </c>
      <c r="Q204" s="2" t="s">
        <v>2637</v>
      </c>
      <c r="R204" s="3" t="s">
        <v>68</v>
      </c>
      <c r="S204" s="4">
        <v>8</v>
      </c>
      <c r="T204" s="4">
        <v>8</v>
      </c>
      <c r="U204" s="5" t="s">
        <v>2638</v>
      </c>
      <c r="V204" s="5" t="s">
        <v>2638</v>
      </c>
      <c r="W204" s="5" t="s">
        <v>2612</v>
      </c>
      <c r="X204" s="5" t="s">
        <v>2612</v>
      </c>
      <c r="Y204" s="4">
        <v>43</v>
      </c>
      <c r="Z204" s="4">
        <v>39</v>
      </c>
      <c r="AA204" s="4">
        <v>39</v>
      </c>
      <c r="AB204" s="4">
        <v>2</v>
      </c>
      <c r="AC204" s="4">
        <v>2</v>
      </c>
      <c r="AD204" s="4">
        <v>5</v>
      </c>
      <c r="AE204" s="4">
        <v>5</v>
      </c>
      <c r="AF204" s="4">
        <v>1</v>
      </c>
      <c r="AG204" s="4">
        <v>1</v>
      </c>
      <c r="AH204" s="4">
        <v>2</v>
      </c>
      <c r="AI204" s="4">
        <v>2</v>
      </c>
      <c r="AJ204" s="4">
        <v>3</v>
      </c>
      <c r="AK204" s="4">
        <v>3</v>
      </c>
      <c r="AL204" s="4">
        <v>0</v>
      </c>
      <c r="AM204" s="4">
        <v>0</v>
      </c>
      <c r="AN204" s="4">
        <v>0</v>
      </c>
      <c r="AO204" s="4">
        <v>0</v>
      </c>
      <c r="AP204" s="3" t="s">
        <v>58</v>
      </c>
      <c r="AQ204" s="3" t="s">
        <v>58</v>
      </c>
      <c r="AS204" s="6" t="str">
        <f>HYPERLINK("https://creighton-primo.hosted.exlibrisgroup.com/primo-explore/search?tab=default_tab&amp;search_scope=EVERYTHING&amp;vid=01CRU&amp;lang=en_US&amp;offset=0&amp;query=any,contains,991003559799702656","Catalog Record")</f>
        <v>Catalog Record</v>
      </c>
      <c r="AT204" s="6" t="str">
        <f>HYPERLINK("http://www.worldcat.org/oclc/1129940","WorldCat Record")</f>
        <v>WorldCat Record</v>
      </c>
      <c r="AU204" s="3" t="s">
        <v>2639</v>
      </c>
      <c r="AV204" s="3" t="s">
        <v>2640</v>
      </c>
      <c r="AW204" s="3" t="s">
        <v>2641</v>
      </c>
      <c r="AX204" s="3" t="s">
        <v>2641</v>
      </c>
      <c r="AY204" s="3" t="s">
        <v>2642</v>
      </c>
      <c r="AZ204" s="3" t="s">
        <v>75</v>
      </c>
      <c r="BB204" s="3" t="s">
        <v>2643</v>
      </c>
      <c r="BC204" s="3" t="s">
        <v>2644</v>
      </c>
      <c r="BD204" s="3" t="s">
        <v>2645</v>
      </c>
    </row>
    <row r="205" spans="1:56" ht="39" customHeight="1" x14ac:dyDescent="0.25">
      <c r="A205" s="7" t="s">
        <v>58</v>
      </c>
      <c r="B205" s="2" t="s">
        <v>2646</v>
      </c>
      <c r="C205" s="2" t="s">
        <v>2647</v>
      </c>
      <c r="D205" s="2" t="s">
        <v>2648</v>
      </c>
      <c r="F205" s="3" t="s">
        <v>58</v>
      </c>
      <c r="G205" s="3" t="s">
        <v>59</v>
      </c>
      <c r="H205" s="3" t="s">
        <v>58</v>
      </c>
      <c r="I205" s="3" t="s">
        <v>58</v>
      </c>
      <c r="J205" s="3" t="s">
        <v>60</v>
      </c>
      <c r="K205" s="2" t="s">
        <v>2649</v>
      </c>
      <c r="L205" s="2" t="s">
        <v>2357</v>
      </c>
      <c r="M205" s="3" t="s">
        <v>157</v>
      </c>
      <c r="O205" s="3" t="s">
        <v>65</v>
      </c>
      <c r="P205" s="3" t="s">
        <v>2303</v>
      </c>
      <c r="Q205" s="2" t="s">
        <v>2650</v>
      </c>
      <c r="R205" s="3" t="s">
        <v>68</v>
      </c>
      <c r="S205" s="4">
        <v>4</v>
      </c>
      <c r="T205" s="4">
        <v>4</v>
      </c>
      <c r="U205" s="5" t="s">
        <v>2651</v>
      </c>
      <c r="V205" s="5" t="s">
        <v>2651</v>
      </c>
      <c r="W205" s="5" t="s">
        <v>2612</v>
      </c>
      <c r="X205" s="5" t="s">
        <v>2612</v>
      </c>
      <c r="Y205" s="4">
        <v>118</v>
      </c>
      <c r="Z205" s="4">
        <v>101</v>
      </c>
      <c r="AA205" s="4">
        <v>180</v>
      </c>
      <c r="AB205" s="4">
        <v>2</v>
      </c>
      <c r="AC205" s="4">
        <v>2</v>
      </c>
      <c r="AD205" s="4">
        <v>16</v>
      </c>
      <c r="AE205" s="4">
        <v>17</v>
      </c>
      <c r="AF205" s="4">
        <v>4</v>
      </c>
      <c r="AG205" s="4">
        <v>4</v>
      </c>
      <c r="AH205" s="4">
        <v>7</v>
      </c>
      <c r="AI205" s="4">
        <v>7</v>
      </c>
      <c r="AJ205" s="4">
        <v>10</v>
      </c>
      <c r="AK205" s="4">
        <v>11</v>
      </c>
      <c r="AL205" s="4">
        <v>0</v>
      </c>
      <c r="AM205" s="4">
        <v>0</v>
      </c>
      <c r="AN205" s="4">
        <v>0</v>
      </c>
      <c r="AO205" s="4">
        <v>0</v>
      </c>
      <c r="AP205" s="3" t="s">
        <v>58</v>
      </c>
      <c r="AQ205" s="3" t="s">
        <v>58</v>
      </c>
      <c r="AS205" s="6" t="str">
        <f>HYPERLINK("https://creighton-primo.hosted.exlibrisgroup.com/primo-explore/search?tab=default_tab&amp;search_scope=EVERYTHING&amp;vid=01CRU&amp;lang=en_US&amp;offset=0&amp;query=any,contains,991000178369702656","Catalog Record")</f>
        <v>Catalog Record</v>
      </c>
      <c r="AT205" s="6" t="str">
        <f>HYPERLINK("http://www.worldcat.org/oclc/9369588","WorldCat Record")</f>
        <v>WorldCat Record</v>
      </c>
      <c r="AU205" s="3" t="s">
        <v>2652</v>
      </c>
      <c r="AV205" s="3" t="s">
        <v>2653</v>
      </c>
      <c r="AW205" s="3" t="s">
        <v>2654</v>
      </c>
      <c r="AX205" s="3" t="s">
        <v>2654</v>
      </c>
      <c r="AY205" s="3" t="s">
        <v>2655</v>
      </c>
      <c r="AZ205" s="3" t="s">
        <v>75</v>
      </c>
      <c r="BB205" s="3" t="s">
        <v>2656</v>
      </c>
      <c r="BC205" s="3" t="s">
        <v>2657</v>
      </c>
      <c r="BD205" s="3" t="s">
        <v>2658</v>
      </c>
    </row>
    <row r="206" spans="1:56" ht="39" customHeight="1" x14ac:dyDescent="0.25">
      <c r="A206" s="7" t="s">
        <v>58</v>
      </c>
      <c r="B206" s="2" t="s">
        <v>2659</v>
      </c>
      <c r="C206" s="2" t="s">
        <v>2660</v>
      </c>
      <c r="D206" s="2" t="s">
        <v>2661</v>
      </c>
      <c r="F206" s="3" t="s">
        <v>58</v>
      </c>
      <c r="G206" s="3" t="s">
        <v>59</v>
      </c>
      <c r="H206" s="3" t="s">
        <v>58</v>
      </c>
      <c r="I206" s="3" t="s">
        <v>58</v>
      </c>
      <c r="J206" s="3" t="s">
        <v>60</v>
      </c>
      <c r="K206" s="2" t="s">
        <v>2662</v>
      </c>
      <c r="L206" s="2" t="s">
        <v>2663</v>
      </c>
      <c r="M206" s="3" t="s">
        <v>1621</v>
      </c>
      <c r="O206" s="3" t="s">
        <v>65</v>
      </c>
      <c r="P206" s="3" t="s">
        <v>2664</v>
      </c>
      <c r="R206" s="3" t="s">
        <v>68</v>
      </c>
      <c r="S206" s="4">
        <v>2</v>
      </c>
      <c r="T206" s="4">
        <v>2</v>
      </c>
      <c r="U206" s="5" t="s">
        <v>2665</v>
      </c>
      <c r="V206" s="5" t="s">
        <v>2665</v>
      </c>
      <c r="W206" s="5" t="s">
        <v>2666</v>
      </c>
      <c r="X206" s="5" t="s">
        <v>2666</v>
      </c>
      <c r="Y206" s="4">
        <v>29</v>
      </c>
      <c r="Z206" s="4">
        <v>24</v>
      </c>
      <c r="AA206" s="4">
        <v>205</v>
      </c>
      <c r="AB206" s="4">
        <v>1</v>
      </c>
      <c r="AC206" s="4">
        <v>6</v>
      </c>
      <c r="AD206" s="4">
        <v>0</v>
      </c>
      <c r="AE206" s="4">
        <v>18</v>
      </c>
      <c r="AF206" s="4">
        <v>0</v>
      </c>
      <c r="AG206" s="4">
        <v>4</v>
      </c>
      <c r="AH206" s="4">
        <v>0</v>
      </c>
      <c r="AI206" s="4">
        <v>2</v>
      </c>
      <c r="AJ206" s="4">
        <v>0</v>
      </c>
      <c r="AK206" s="4">
        <v>12</v>
      </c>
      <c r="AL206" s="4">
        <v>0</v>
      </c>
      <c r="AM206" s="4">
        <v>3</v>
      </c>
      <c r="AN206" s="4">
        <v>0</v>
      </c>
      <c r="AO206" s="4">
        <v>0</v>
      </c>
      <c r="AP206" s="3" t="s">
        <v>58</v>
      </c>
      <c r="AQ206" s="3" t="s">
        <v>58</v>
      </c>
      <c r="AS206" s="6" t="str">
        <f>HYPERLINK("https://creighton-primo.hosted.exlibrisgroup.com/primo-explore/search?tab=default_tab&amp;search_scope=EVERYTHING&amp;vid=01CRU&amp;lang=en_US&amp;offset=0&amp;query=any,contains,991003858759702656","Catalog Record")</f>
        <v>Catalog Record</v>
      </c>
      <c r="AT206" s="6" t="str">
        <f>HYPERLINK("http://www.worldcat.org/oclc/18055555","WorldCat Record")</f>
        <v>WorldCat Record</v>
      </c>
      <c r="AU206" s="3" t="s">
        <v>2667</v>
      </c>
      <c r="AV206" s="3" t="s">
        <v>2668</v>
      </c>
      <c r="AW206" s="3" t="s">
        <v>2669</v>
      </c>
      <c r="AX206" s="3" t="s">
        <v>2669</v>
      </c>
      <c r="AY206" s="3" t="s">
        <v>2670</v>
      </c>
      <c r="AZ206" s="3" t="s">
        <v>75</v>
      </c>
      <c r="BB206" s="3" t="s">
        <v>2671</v>
      </c>
      <c r="BC206" s="3" t="s">
        <v>2672</v>
      </c>
      <c r="BD206" s="3" t="s">
        <v>2673</v>
      </c>
    </row>
    <row r="207" spans="1:56" ht="39" customHeight="1" x14ac:dyDescent="0.25">
      <c r="A207" s="7" t="s">
        <v>58</v>
      </c>
      <c r="B207" s="2" t="s">
        <v>2674</v>
      </c>
      <c r="C207" s="2" t="s">
        <v>2675</v>
      </c>
      <c r="D207" s="2" t="s">
        <v>2676</v>
      </c>
      <c r="F207" s="3" t="s">
        <v>58</v>
      </c>
      <c r="G207" s="3" t="s">
        <v>59</v>
      </c>
      <c r="H207" s="3" t="s">
        <v>58</v>
      </c>
      <c r="I207" s="3" t="s">
        <v>58</v>
      </c>
      <c r="J207" s="3" t="s">
        <v>60</v>
      </c>
      <c r="K207" s="2" t="s">
        <v>2677</v>
      </c>
      <c r="L207" s="2" t="s">
        <v>2317</v>
      </c>
      <c r="M207" s="3" t="s">
        <v>1621</v>
      </c>
      <c r="O207" s="3" t="s">
        <v>65</v>
      </c>
      <c r="P207" s="3" t="s">
        <v>304</v>
      </c>
      <c r="Q207" s="2" t="s">
        <v>2678</v>
      </c>
      <c r="R207" s="3" t="s">
        <v>68</v>
      </c>
      <c r="S207" s="4">
        <v>5</v>
      </c>
      <c r="T207" s="4">
        <v>5</v>
      </c>
      <c r="U207" s="5" t="s">
        <v>2256</v>
      </c>
      <c r="V207" s="5" t="s">
        <v>2256</v>
      </c>
      <c r="W207" s="5" t="s">
        <v>2612</v>
      </c>
      <c r="X207" s="5" t="s">
        <v>2612</v>
      </c>
      <c r="Y207" s="4">
        <v>96</v>
      </c>
      <c r="Z207" s="4">
        <v>82</v>
      </c>
      <c r="AA207" s="4">
        <v>83</v>
      </c>
      <c r="AB207" s="4">
        <v>2</v>
      </c>
      <c r="AC207" s="4">
        <v>2</v>
      </c>
      <c r="AD207" s="4">
        <v>12</v>
      </c>
      <c r="AE207" s="4">
        <v>12</v>
      </c>
      <c r="AF207" s="4">
        <v>2</v>
      </c>
      <c r="AG207" s="4">
        <v>2</v>
      </c>
      <c r="AH207" s="4">
        <v>2</v>
      </c>
      <c r="AI207" s="4">
        <v>2</v>
      </c>
      <c r="AJ207" s="4">
        <v>11</v>
      </c>
      <c r="AK207" s="4">
        <v>11</v>
      </c>
      <c r="AL207" s="4">
        <v>0</v>
      </c>
      <c r="AM207" s="4">
        <v>0</v>
      </c>
      <c r="AN207" s="4">
        <v>0</v>
      </c>
      <c r="AO207" s="4">
        <v>0</v>
      </c>
      <c r="AP207" s="3" t="s">
        <v>58</v>
      </c>
      <c r="AQ207" s="3" t="s">
        <v>58</v>
      </c>
      <c r="AS207" s="6" t="str">
        <f>HYPERLINK("https://creighton-primo.hosted.exlibrisgroup.com/primo-explore/search?tab=default_tab&amp;search_scope=EVERYTHING&amp;vid=01CRU&amp;lang=en_US&amp;offset=0&amp;query=any,contains,991003353029702656","Catalog Record")</f>
        <v>Catalog Record</v>
      </c>
      <c r="AT207" s="6" t="str">
        <f>HYPERLINK("http://www.worldcat.org/oclc/886209","WorldCat Record")</f>
        <v>WorldCat Record</v>
      </c>
      <c r="AU207" s="3" t="s">
        <v>2679</v>
      </c>
      <c r="AV207" s="3" t="s">
        <v>2680</v>
      </c>
      <c r="AW207" s="3" t="s">
        <v>2681</v>
      </c>
      <c r="AX207" s="3" t="s">
        <v>2681</v>
      </c>
      <c r="AY207" s="3" t="s">
        <v>2682</v>
      </c>
      <c r="AZ207" s="3" t="s">
        <v>75</v>
      </c>
      <c r="BB207" s="3" t="s">
        <v>2683</v>
      </c>
      <c r="BC207" s="3" t="s">
        <v>2684</v>
      </c>
      <c r="BD207" s="3" t="s">
        <v>2685</v>
      </c>
    </row>
    <row r="208" spans="1:56" ht="39" customHeight="1" x14ac:dyDescent="0.25">
      <c r="A208" s="7" t="s">
        <v>58</v>
      </c>
      <c r="B208" s="2" t="s">
        <v>2686</v>
      </c>
      <c r="C208" s="2" t="s">
        <v>2687</v>
      </c>
      <c r="D208" s="2" t="s">
        <v>2688</v>
      </c>
      <c r="F208" s="3" t="s">
        <v>58</v>
      </c>
      <c r="G208" s="3" t="s">
        <v>59</v>
      </c>
      <c r="H208" s="3" t="s">
        <v>58</v>
      </c>
      <c r="I208" s="3" t="s">
        <v>58</v>
      </c>
      <c r="J208" s="3" t="s">
        <v>60</v>
      </c>
      <c r="K208" s="2" t="s">
        <v>2278</v>
      </c>
      <c r="L208" s="2" t="s">
        <v>2689</v>
      </c>
      <c r="M208" s="3" t="s">
        <v>655</v>
      </c>
      <c r="O208" s="3" t="s">
        <v>65</v>
      </c>
      <c r="P208" s="3" t="s">
        <v>186</v>
      </c>
      <c r="R208" s="3" t="s">
        <v>68</v>
      </c>
      <c r="S208" s="4">
        <v>3</v>
      </c>
      <c r="T208" s="4">
        <v>3</v>
      </c>
      <c r="U208" s="5" t="s">
        <v>2690</v>
      </c>
      <c r="V208" s="5" t="s">
        <v>2690</v>
      </c>
      <c r="W208" s="5" t="s">
        <v>2612</v>
      </c>
      <c r="X208" s="5" t="s">
        <v>2612</v>
      </c>
      <c r="Y208" s="4">
        <v>210</v>
      </c>
      <c r="Z208" s="4">
        <v>186</v>
      </c>
      <c r="AA208" s="4">
        <v>258</v>
      </c>
      <c r="AB208" s="4">
        <v>3</v>
      </c>
      <c r="AC208" s="4">
        <v>3</v>
      </c>
      <c r="AD208" s="4">
        <v>17</v>
      </c>
      <c r="AE208" s="4">
        <v>22</v>
      </c>
      <c r="AF208" s="4">
        <v>3</v>
      </c>
      <c r="AG208" s="4">
        <v>7</v>
      </c>
      <c r="AH208" s="4">
        <v>5</v>
      </c>
      <c r="AI208" s="4">
        <v>6</v>
      </c>
      <c r="AJ208" s="4">
        <v>13</v>
      </c>
      <c r="AK208" s="4">
        <v>15</v>
      </c>
      <c r="AL208" s="4">
        <v>0</v>
      </c>
      <c r="AM208" s="4">
        <v>0</v>
      </c>
      <c r="AN208" s="4">
        <v>0</v>
      </c>
      <c r="AO208" s="4">
        <v>0</v>
      </c>
      <c r="AP208" s="3" t="s">
        <v>58</v>
      </c>
      <c r="AQ208" s="3" t="s">
        <v>58</v>
      </c>
      <c r="AS208" s="6" t="str">
        <f>HYPERLINK("https://creighton-primo.hosted.exlibrisgroup.com/primo-explore/search?tab=default_tab&amp;search_scope=EVERYTHING&amp;vid=01CRU&amp;lang=en_US&amp;offset=0&amp;query=any,contains,991003552319702656","Catalog Record")</f>
        <v>Catalog Record</v>
      </c>
      <c r="AT208" s="6" t="str">
        <f>HYPERLINK("http://www.worldcat.org/oclc/1120516","WorldCat Record")</f>
        <v>WorldCat Record</v>
      </c>
      <c r="AU208" s="3" t="s">
        <v>2691</v>
      </c>
      <c r="AV208" s="3" t="s">
        <v>2692</v>
      </c>
      <c r="AW208" s="3" t="s">
        <v>2693</v>
      </c>
      <c r="AX208" s="3" t="s">
        <v>2693</v>
      </c>
      <c r="AY208" s="3" t="s">
        <v>2694</v>
      </c>
      <c r="AZ208" s="3" t="s">
        <v>75</v>
      </c>
      <c r="BB208" s="3" t="s">
        <v>2695</v>
      </c>
      <c r="BC208" s="3" t="s">
        <v>2696</v>
      </c>
      <c r="BD208" s="3" t="s">
        <v>2697</v>
      </c>
    </row>
    <row r="209" spans="1:56" ht="39" customHeight="1" x14ac:dyDescent="0.25">
      <c r="A209" s="7" t="s">
        <v>58</v>
      </c>
      <c r="B209" s="2" t="s">
        <v>2698</v>
      </c>
      <c r="C209" s="2" t="s">
        <v>2699</v>
      </c>
      <c r="D209" s="2" t="s">
        <v>2700</v>
      </c>
      <c r="F209" s="3" t="s">
        <v>58</v>
      </c>
      <c r="G209" s="3" t="s">
        <v>59</v>
      </c>
      <c r="H209" s="3" t="s">
        <v>58</v>
      </c>
      <c r="I209" s="3" t="s">
        <v>58</v>
      </c>
      <c r="J209" s="3" t="s">
        <v>60</v>
      </c>
      <c r="K209" s="2" t="s">
        <v>2701</v>
      </c>
      <c r="L209" s="2" t="s">
        <v>2702</v>
      </c>
      <c r="M209" s="3" t="s">
        <v>128</v>
      </c>
      <c r="O209" s="3" t="s">
        <v>65</v>
      </c>
      <c r="P209" s="3" t="s">
        <v>571</v>
      </c>
      <c r="R209" s="3" t="s">
        <v>68</v>
      </c>
      <c r="S209" s="4">
        <v>2</v>
      </c>
      <c r="T209" s="4">
        <v>2</v>
      </c>
      <c r="U209" s="5" t="s">
        <v>2703</v>
      </c>
      <c r="V209" s="5" t="s">
        <v>2703</v>
      </c>
      <c r="W209" s="5" t="s">
        <v>2704</v>
      </c>
      <c r="X209" s="5" t="s">
        <v>2704</v>
      </c>
      <c r="Y209" s="4">
        <v>37</v>
      </c>
      <c r="Z209" s="4">
        <v>26</v>
      </c>
      <c r="AA209" s="4">
        <v>26</v>
      </c>
      <c r="AB209" s="4">
        <v>1</v>
      </c>
      <c r="AC209" s="4">
        <v>1</v>
      </c>
      <c r="AD209" s="4">
        <v>3</v>
      </c>
      <c r="AE209" s="4">
        <v>3</v>
      </c>
      <c r="AF209" s="4">
        <v>0</v>
      </c>
      <c r="AG209" s="4">
        <v>0</v>
      </c>
      <c r="AH209" s="4">
        <v>0</v>
      </c>
      <c r="AI209" s="4">
        <v>0</v>
      </c>
      <c r="AJ209" s="4">
        <v>3</v>
      </c>
      <c r="AK209" s="4">
        <v>3</v>
      </c>
      <c r="AL209" s="4">
        <v>0</v>
      </c>
      <c r="AM209" s="4">
        <v>0</v>
      </c>
      <c r="AN209" s="4">
        <v>0</v>
      </c>
      <c r="AO209" s="4">
        <v>0</v>
      </c>
      <c r="AP209" s="3" t="s">
        <v>58</v>
      </c>
      <c r="AQ209" s="3" t="s">
        <v>58</v>
      </c>
      <c r="AS209" s="6" t="str">
        <f>HYPERLINK("https://creighton-primo.hosted.exlibrisgroup.com/primo-explore/search?tab=default_tab&amp;search_scope=EVERYTHING&amp;vid=01CRU&amp;lang=en_US&amp;offset=0&amp;query=any,contains,991004619989702656","Catalog Record")</f>
        <v>Catalog Record</v>
      </c>
      <c r="AT209" s="6" t="str">
        <f>HYPERLINK("http://www.worldcat.org/oclc/4285062","WorldCat Record")</f>
        <v>WorldCat Record</v>
      </c>
      <c r="AU209" s="3" t="s">
        <v>2705</v>
      </c>
      <c r="AV209" s="3" t="s">
        <v>2706</v>
      </c>
      <c r="AW209" s="3" t="s">
        <v>2707</v>
      </c>
      <c r="AX209" s="3" t="s">
        <v>2707</v>
      </c>
      <c r="AY209" s="3" t="s">
        <v>2708</v>
      </c>
      <c r="AZ209" s="3" t="s">
        <v>75</v>
      </c>
      <c r="BB209" s="3" t="s">
        <v>2709</v>
      </c>
      <c r="BC209" s="3" t="s">
        <v>2710</v>
      </c>
      <c r="BD209" s="3" t="s">
        <v>2711</v>
      </c>
    </row>
    <row r="210" spans="1:56" ht="39" customHeight="1" x14ac:dyDescent="0.25">
      <c r="A210" s="7" t="s">
        <v>58</v>
      </c>
      <c r="B210" s="2" t="s">
        <v>2712</v>
      </c>
      <c r="C210" s="2" t="s">
        <v>2713</v>
      </c>
      <c r="D210" s="2" t="s">
        <v>2714</v>
      </c>
      <c r="F210" s="3" t="s">
        <v>58</v>
      </c>
      <c r="G210" s="3" t="s">
        <v>59</v>
      </c>
      <c r="H210" s="3" t="s">
        <v>58</v>
      </c>
      <c r="I210" s="3" t="s">
        <v>58</v>
      </c>
      <c r="J210" s="3" t="s">
        <v>60</v>
      </c>
      <c r="K210" s="2" t="s">
        <v>2715</v>
      </c>
      <c r="L210" s="2" t="s">
        <v>2716</v>
      </c>
      <c r="M210" s="3" t="s">
        <v>759</v>
      </c>
      <c r="O210" s="3" t="s">
        <v>65</v>
      </c>
      <c r="P210" s="3" t="s">
        <v>186</v>
      </c>
      <c r="R210" s="3" t="s">
        <v>68</v>
      </c>
      <c r="S210" s="4">
        <v>5</v>
      </c>
      <c r="T210" s="4">
        <v>5</v>
      </c>
      <c r="U210" s="5" t="s">
        <v>2717</v>
      </c>
      <c r="V210" s="5" t="s">
        <v>2717</v>
      </c>
      <c r="W210" s="5" t="s">
        <v>70</v>
      </c>
      <c r="X210" s="5" t="s">
        <v>70</v>
      </c>
      <c r="Y210" s="4">
        <v>210</v>
      </c>
      <c r="Z210" s="4">
        <v>196</v>
      </c>
      <c r="AA210" s="4">
        <v>216</v>
      </c>
      <c r="AB210" s="4">
        <v>2</v>
      </c>
      <c r="AC210" s="4">
        <v>2</v>
      </c>
      <c r="AD210" s="4">
        <v>14</v>
      </c>
      <c r="AE210" s="4">
        <v>15</v>
      </c>
      <c r="AF210" s="4">
        <v>3</v>
      </c>
      <c r="AG210" s="4">
        <v>4</v>
      </c>
      <c r="AH210" s="4">
        <v>2</v>
      </c>
      <c r="AI210" s="4">
        <v>2</v>
      </c>
      <c r="AJ210" s="4">
        <v>10</v>
      </c>
      <c r="AK210" s="4">
        <v>11</v>
      </c>
      <c r="AL210" s="4">
        <v>0</v>
      </c>
      <c r="AM210" s="4">
        <v>0</v>
      </c>
      <c r="AN210" s="4">
        <v>0</v>
      </c>
      <c r="AO210" s="4">
        <v>0</v>
      </c>
      <c r="AP210" s="3" t="s">
        <v>58</v>
      </c>
      <c r="AQ210" s="3" t="s">
        <v>58</v>
      </c>
      <c r="AS210" s="6" t="str">
        <f>HYPERLINK("https://creighton-primo.hosted.exlibrisgroup.com/primo-explore/search?tab=default_tab&amp;search_scope=EVERYTHING&amp;vid=01CRU&amp;lang=en_US&amp;offset=0&amp;query=any,contains,991001177439702656","Catalog Record")</f>
        <v>Catalog Record</v>
      </c>
      <c r="AT210" s="6" t="str">
        <f>HYPERLINK("http://www.worldcat.org/oclc/17104033","WorldCat Record")</f>
        <v>WorldCat Record</v>
      </c>
      <c r="AU210" s="3" t="s">
        <v>2718</v>
      </c>
      <c r="AV210" s="3" t="s">
        <v>2719</v>
      </c>
      <c r="AW210" s="3" t="s">
        <v>2720</v>
      </c>
      <c r="AX210" s="3" t="s">
        <v>2720</v>
      </c>
      <c r="AY210" s="3" t="s">
        <v>2721</v>
      </c>
      <c r="AZ210" s="3" t="s">
        <v>75</v>
      </c>
      <c r="BB210" s="3" t="s">
        <v>2722</v>
      </c>
      <c r="BC210" s="3" t="s">
        <v>2723</v>
      </c>
      <c r="BD210" s="3" t="s">
        <v>2724</v>
      </c>
    </row>
    <row r="211" spans="1:56" ht="39" customHeight="1" x14ac:dyDescent="0.25">
      <c r="A211" s="7" t="s">
        <v>58</v>
      </c>
      <c r="B211" s="2" t="s">
        <v>2725</v>
      </c>
      <c r="C211" s="2" t="s">
        <v>2726</v>
      </c>
      <c r="D211" s="2" t="s">
        <v>2727</v>
      </c>
      <c r="F211" s="3" t="s">
        <v>58</v>
      </c>
      <c r="G211" s="3" t="s">
        <v>59</v>
      </c>
      <c r="H211" s="3" t="s">
        <v>58</v>
      </c>
      <c r="I211" s="3" t="s">
        <v>58</v>
      </c>
      <c r="J211" s="3" t="s">
        <v>60</v>
      </c>
      <c r="K211" s="2" t="s">
        <v>2728</v>
      </c>
      <c r="L211" s="2" t="s">
        <v>2729</v>
      </c>
      <c r="M211" s="3" t="s">
        <v>2418</v>
      </c>
      <c r="O211" s="3" t="s">
        <v>65</v>
      </c>
      <c r="P211" s="3" t="s">
        <v>186</v>
      </c>
      <c r="R211" s="3" t="s">
        <v>68</v>
      </c>
      <c r="S211" s="4">
        <v>4</v>
      </c>
      <c r="T211" s="4">
        <v>4</v>
      </c>
      <c r="U211" s="5" t="s">
        <v>2730</v>
      </c>
      <c r="V211" s="5" t="s">
        <v>2730</v>
      </c>
      <c r="W211" s="5" t="s">
        <v>2612</v>
      </c>
      <c r="X211" s="5" t="s">
        <v>2612</v>
      </c>
      <c r="Y211" s="4">
        <v>132</v>
      </c>
      <c r="Z211" s="4">
        <v>126</v>
      </c>
      <c r="AA211" s="4">
        <v>145</v>
      </c>
      <c r="AB211" s="4">
        <v>2</v>
      </c>
      <c r="AC211" s="4">
        <v>2</v>
      </c>
      <c r="AD211" s="4">
        <v>8</v>
      </c>
      <c r="AE211" s="4">
        <v>9</v>
      </c>
      <c r="AF211" s="4">
        <v>1</v>
      </c>
      <c r="AG211" s="4">
        <v>2</v>
      </c>
      <c r="AH211" s="4">
        <v>4</v>
      </c>
      <c r="AI211" s="4">
        <v>4</v>
      </c>
      <c r="AJ211" s="4">
        <v>5</v>
      </c>
      <c r="AK211" s="4">
        <v>5</v>
      </c>
      <c r="AL211" s="4">
        <v>1</v>
      </c>
      <c r="AM211" s="4">
        <v>1</v>
      </c>
      <c r="AN211" s="4">
        <v>0</v>
      </c>
      <c r="AO211" s="4">
        <v>0</v>
      </c>
      <c r="AP211" s="3" t="s">
        <v>58</v>
      </c>
      <c r="AQ211" s="3" t="s">
        <v>58</v>
      </c>
      <c r="AS211" s="6" t="str">
        <f>HYPERLINK("https://creighton-primo.hosted.exlibrisgroup.com/primo-explore/search?tab=default_tab&amp;search_scope=EVERYTHING&amp;vid=01CRU&amp;lang=en_US&amp;offset=0&amp;query=any,contains,991003004899702656","Catalog Record")</f>
        <v>Catalog Record</v>
      </c>
      <c r="AT211" s="6" t="str">
        <f>HYPERLINK("http://www.worldcat.org/oclc/572215","WorldCat Record")</f>
        <v>WorldCat Record</v>
      </c>
      <c r="AU211" s="3" t="s">
        <v>2731</v>
      </c>
      <c r="AV211" s="3" t="s">
        <v>2732</v>
      </c>
      <c r="AW211" s="3" t="s">
        <v>2733</v>
      </c>
      <c r="AX211" s="3" t="s">
        <v>2733</v>
      </c>
      <c r="AY211" s="3" t="s">
        <v>2734</v>
      </c>
      <c r="AZ211" s="3" t="s">
        <v>75</v>
      </c>
      <c r="BB211" s="3" t="s">
        <v>2735</v>
      </c>
      <c r="BC211" s="3" t="s">
        <v>2736</v>
      </c>
      <c r="BD211" s="3" t="s">
        <v>2737</v>
      </c>
    </row>
    <row r="212" spans="1:56" ht="39" customHeight="1" x14ac:dyDescent="0.25">
      <c r="A212" s="7" t="s">
        <v>58</v>
      </c>
      <c r="B212" s="2" t="s">
        <v>2738</v>
      </c>
      <c r="C212" s="2" t="s">
        <v>2739</v>
      </c>
      <c r="D212" s="2" t="s">
        <v>2740</v>
      </c>
      <c r="F212" s="3" t="s">
        <v>58</v>
      </c>
      <c r="G212" s="3" t="s">
        <v>59</v>
      </c>
      <c r="H212" s="3" t="s">
        <v>58</v>
      </c>
      <c r="I212" s="3" t="s">
        <v>58</v>
      </c>
      <c r="J212" s="3" t="s">
        <v>60</v>
      </c>
      <c r="K212" s="2" t="s">
        <v>2741</v>
      </c>
      <c r="L212" s="2" t="s">
        <v>2742</v>
      </c>
      <c r="M212" s="3" t="s">
        <v>361</v>
      </c>
      <c r="O212" s="3" t="s">
        <v>65</v>
      </c>
      <c r="P212" s="3" t="s">
        <v>66</v>
      </c>
      <c r="Q212" s="2" t="s">
        <v>2743</v>
      </c>
      <c r="R212" s="3" t="s">
        <v>68</v>
      </c>
      <c r="S212" s="4">
        <v>9</v>
      </c>
      <c r="T212" s="4">
        <v>9</v>
      </c>
      <c r="U212" s="5" t="s">
        <v>2744</v>
      </c>
      <c r="V212" s="5" t="s">
        <v>2744</v>
      </c>
      <c r="W212" s="5" t="s">
        <v>2612</v>
      </c>
      <c r="X212" s="5" t="s">
        <v>2612</v>
      </c>
      <c r="Y212" s="4">
        <v>120</v>
      </c>
      <c r="Z212" s="4">
        <v>77</v>
      </c>
      <c r="AA212" s="4">
        <v>81</v>
      </c>
      <c r="AB212" s="4">
        <v>1</v>
      </c>
      <c r="AC212" s="4">
        <v>1</v>
      </c>
      <c r="AD212" s="4">
        <v>8</v>
      </c>
      <c r="AE212" s="4">
        <v>8</v>
      </c>
      <c r="AF212" s="4">
        <v>1</v>
      </c>
      <c r="AG212" s="4">
        <v>1</v>
      </c>
      <c r="AH212" s="4">
        <v>1</v>
      </c>
      <c r="AI212" s="4">
        <v>1</v>
      </c>
      <c r="AJ212" s="4">
        <v>8</v>
      </c>
      <c r="AK212" s="4">
        <v>8</v>
      </c>
      <c r="AL212" s="4">
        <v>0</v>
      </c>
      <c r="AM212" s="4">
        <v>0</v>
      </c>
      <c r="AN212" s="4">
        <v>0</v>
      </c>
      <c r="AO212" s="4">
        <v>0</v>
      </c>
      <c r="AP212" s="3" t="s">
        <v>58</v>
      </c>
      <c r="AQ212" s="3" t="s">
        <v>58</v>
      </c>
      <c r="AS212" s="6" t="str">
        <f>HYPERLINK("https://creighton-primo.hosted.exlibrisgroup.com/primo-explore/search?tab=default_tab&amp;search_scope=EVERYTHING&amp;vid=01CRU&amp;lang=en_US&amp;offset=0&amp;query=any,contains,991000520229702656","Catalog Record")</f>
        <v>Catalog Record</v>
      </c>
      <c r="AT212" s="6" t="str">
        <f>HYPERLINK("http://www.worldcat.org/oclc/11318374","WorldCat Record")</f>
        <v>WorldCat Record</v>
      </c>
      <c r="AU212" s="3" t="s">
        <v>2745</v>
      </c>
      <c r="AV212" s="3" t="s">
        <v>2746</v>
      </c>
      <c r="AW212" s="3" t="s">
        <v>2747</v>
      </c>
      <c r="AX212" s="3" t="s">
        <v>2747</v>
      </c>
      <c r="AY212" s="3" t="s">
        <v>2748</v>
      </c>
      <c r="AZ212" s="3" t="s">
        <v>75</v>
      </c>
      <c r="BB212" s="3" t="s">
        <v>2749</v>
      </c>
      <c r="BC212" s="3" t="s">
        <v>2750</v>
      </c>
      <c r="BD212" s="3" t="s">
        <v>2751</v>
      </c>
    </row>
    <row r="213" spans="1:56" ht="39" customHeight="1" x14ac:dyDescent="0.25">
      <c r="A213" s="7" t="s">
        <v>58</v>
      </c>
      <c r="B213" s="2" t="s">
        <v>2752</v>
      </c>
      <c r="C213" s="2" t="s">
        <v>2753</v>
      </c>
      <c r="D213" s="2" t="s">
        <v>2754</v>
      </c>
      <c r="F213" s="3" t="s">
        <v>58</v>
      </c>
      <c r="G213" s="3" t="s">
        <v>59</v>
      </c>
      <c r="H213" s="3" t="s">
        <v>58</v>
      </c>
      <c r="I213" s="3" t="s">
        <v>58</v>
      </c>
      <c r="J213" s="3" t="s">
        <v>60</v>
      </c>
      <c r="K213" s="2" t="s">
        <v>2755</v>
      </c>
      <c r="L213" s="2" t="s">
        <v>2756</v>
      </c>
      <c r="M213" s="3" t="s">
        <v>1621</v>
      </c>
      <c r="O213" s="3" t="s">
        <v>65</v>
      </c>
      <c r="P213" s="3" t="s">
        <v>967</v>
      </c>
      <c r="R213" s="3" t="s">
        <v>68</v>
      </c>
      <c r="S213" s="4">
        <v>9</v>
      </c>
      <c r="T213" s="4">
        <v>9</v>
      </c>
      <c r="U213" s="5" t="s">
        <v>2757</v>
      </c>
      <c r="V213" s="5" t="s">
        <v>2757</v>
      </c>
      <c r="W213" s="5" t="s">
        <v>2612</v>
      </c>
      <c r="X213" s="5" t="s">
        <v>2612</v>
      </c>
      <c r="Y213" s="4">
        <v>97</v>
      </c>
      <c r="Z213" s="4">
        <v>84</v>
      </c>
      <c r="AA213" s="4">
        <v>170</v>
      </c>
      <c r="AB213" s="4">
        <v>1</v>
      </c>
      <c r="AC213" s="4">
        <v>2</v>
      </c>
      <c r="AD213" s="4">
        <v>9</v>
      </c>
      <c r="AE213" s="4">
        <v>15</v>
      </c>
      <c r="AF213" s="4">
        <v>3</v>
      </c>
      <c r="AG213" s="4">
        <v>5</v>
      </c>
      <c r="AH213" s="4">
        <v>2</v>
      </c>
      <c r="AI213" s="4">
        <v>4</v>
      </c>
      <c r="AJ213" s="4">
        <v>5</v>
      </c>
      <c r="AK213" s="4">
        <v>10</v>
      </c>
      <c r="AL213" s="4">
        <v>0</v>
      </c>
      <c r="AM213" s="4">
        <v>0</v>
      </c>
      <c r="AN213" s="4">
        <v>0</v>
      </c>
      <c r="AO213" s="4">
        <v>0</v>
      </c>
      <c r="AP213" s="3" t="s">
        <v>58</v>
      </c>
      <c r="AQ213" s="3" t="s">
        <v>58</v>
      </c>
      <c r="AS213" s="6" t="str">
        <f>HYPERLINK("https://creighton-primo.hosted.exlibrisgroup.com/primo-explore/search?tab=default_tab&amp;search_scope=EVERYTHING&amp;vid=01CRU&amp;lang=en_US&amp;offset=0&amp;query=any,contains,991001049449702656","Catalog Record")</f>
        <v>Catalog Record</v>
      </c>
      <c r="AT213" s="6" t="str">
        <f>HYPERLINK("http://www.worldcat.org/oclc/15634827","WorldCat Record")</f>
        <v>WorldCat Record</v>
      </c>
      <c r="AU213" s="3" t="s">
        <v>2758</v>
      </c>
      <c r="AV213" s="3" t="s">
        <v>2759</v>
      </c>
      <c r="AW213" s="3" t="s">
        <v>2760</v>
      </c>
      <c r="AX213" s="3" t="s">
        <v>2760</v>
      </c>
      <c r="AY213" s="3" t="s">
        <v>2761</v>
      </c>
      <c r="AZ213" s="3" t="s">
        <v>75</v>
      </c>
      <c r="BB213" s="3" t="s">
        <v>2762</v>
      </c>
      <c r="BC213" s="3" t="s">
        <v>2763</v>
      </c>
      <c r="BD213" s="3" t="s">
        <v>2764</v>
      </c>
    </row>
    <row r="214" spans="1:56" ht="39" customHeight="1" x14ac:dyDescent="0.25">
      <c r="A214" s="7" t="s">
        <v>58</v>
      </c>
      <c r="B214" s="2" t="s">
        <v>2765</v>
      </c>
      <c r="C214" s="2" t="s">
        <v>2766</v>
      </c>
      <c r="D214" s="2" t="s">
        <v>2767</v>
      </c>
      <c r="F214" s="3" t="s">
        <v>58</v>
      </c>
      <c r="G214" s="3" t="s">
        <v>59</v>
      </c>
      <c r="H214" s="3" t="s">
        <v>58</v>
      </c>
      <c r="I214" s="3" t="s">
        <v>58</v>
      </c>
      <c r="J214" s="3" t="s">
        <v>60</v>
      </c>
      <c r="K214" s="2" t="s">
        <v>2242</v>
      </c>
      <c r="L214" s="2" t="s">
        <v>2768</v>
      </c>
      <c r="M214" s="3" t="s">
        <v>682</v>
      </c>
      <c r="O214" s="3" t="s">
        <v>65</v>
      </c>
      <c r="P214" s="3" t="s">
        <v>967</v>
      </c>
      <c r="Q214" s="2" t="s">
        <v>2769</v>
      </c>
      <c r="R214" s="3" t="s">
        <v>68</v>
      </c>
      <c r="S214" s="4">
        <v>1</v>
      </c>
      <c r="T214" s="4">
        <v>1</v>
      </c>
      <c r="U214" s="5" t="s">
        <v>2651</v>
      </c>
      <c r="V214" s="5" t="s">
        <v>2651</v>
      </c>
      <c r="W214" s="5" t="s">
        <v>2770</v>
      </c>
      <c r="X214" s="5" t="s">
        <v>2770</v>
      </c>
      <c r="Y214" s="4">
        <v>81</v>
      </c>
      <c r="Z214" s="4">
        <v>73</v>
      </c>
      <c r="AA214" s="4">
        <v>78</v>
      </c>
      <c r="AB214" s="4">
        <v>1</v>
      </c>
      <c r="AC214" s="4">
        <v>1</v>
      </c>
      <c r="AD214" s="4">
        <v>10</v>
      </c>
      <c r="AE214" s="4">
        <v>10</v>
      </c>
      <c r="AF214" s="4">
        <v>0</v>
      </c>
      <c r="AG214" s="4">
        <v>0</v>
      </c>
      <c r="AH214" s="4">
        <v>2</v>
      </c>
      <c r="AI214" s="4">
        <v>2</v>
      </c>
      <c r="AJ214" s="4">
        <v>9</v>
      </c>
      <c r="AK214" s="4">
        <v>9</v>
      </c>
      <c r="AL214" s="4">
        <v>0</v>
      </c>
      <c r="AM214" s="4">
        <v>0</v>
      </c>
      <c r="AN214" s="4">
        <v>0</v>
      </c>
      <c r="AO214" s="4">
        <v>0</v>
      </c>
      <c r="AP214" s="3" t="s">
        <v>58</v>
      </c>
      <c r="AQ214" s="3" t="s">
        <v>58</v>
      </c>
      <c r="AS214" s="6" t="str">
        <f>HYPERLINK("https://creighton-primo.hosted.exlibrisgroup.com/primo-explore/search?tab=default_tab&amp;search_scope=EVERYTHING&amp;vid=01CRU&amp;lang=en_US&amp;offset=0&amp;query=any,contains,991003380609702656","Catalog Record")</f>
        <v>Catalog Record</v>
      </c>
      <c r="AT214" s="6" t="str">
        <f>HYPERLINK("http://www.worldcat.org/oclc/917071","WorldCat Record")</f>
        <v>WorldCat Record</v>
      </c>
      <c r="AU214" s="3" t="s">
        <v>2771</v>
      </c>
      <c r="AV214" s="3" t="s">
        <v>2772</v>
      </c>
      <c r="AW214" s="3" t="s">
        <v>2773</v>
      </c>
      <c r="AX214" s="3" t="s">
        <v>2773</v>
      </c>
      <c r="AY214" s="3" t="s">
        <v>2774</v>
      </c>
      <c r="AZ214" s="3" t="s">
        <v>75</v>
      </c>
      <c r="BC214" s="3" t="s">
        <v>2775</v>
      </c>
      <c r="BD214" s="3" t="s">
        <v>2776</v>
      </c>
    </row>
    <row r="215" spans="1:56" ht="39" customHeight="1" x14ac:dyDescent="0.25">
      <c r="A215" s="7" t="s">
        <v>58</v>
      </c>
      <c r="B215" s="2" t="s">
        <v>2777</v>
      </c>
      <c r="C215" s="2" t="s">
        <v>2778</v>
      </c>
      <c r="D215" s="2" t="s">
        <v>2779</v>
      </c>
      <c r="F215" s="3" t="s">
        <v>58</v>
      </c>
      <c r="G215" s="3" t="s">
        <v>59</v>
      </c>
      <c r="H215" s="3" t="s">
        <v>58</v>
      </c>
      <c r="I215" s="3" t="s">
        <v>58</v>
      </c>
      <c r="J215" s="3" t="s">
        <v>60</v>
      </c>
      <c r="K215" s="2" t="s">
        <v>2780</v>
      </c>
      <c r="L215" s="2" t="s">
        <v>2781</v>
      </c>
      <c r="M215" s="3" t="s">
        <v>2418</v>
      </c>
      <c r="O215" s="3" t="s">
        <v>65</v>
      </c>
      <c r="P215" s="3" t="s">
        <v>186</v>
      </c>
      <c r="R215" s="3" t="s">
        <v>68</v>
      </c>
      <c r="S215" s="4">
        <v>2</v>
      </c>
      <c r="T215" s="4">
        <v>2</v>
      </c>
      <c r="U215" s="5" t="s">
        <v>2244</v>
      </c>
      <c r="V215" s="5" t="s">
        <v>2244</v>
      </c>
      <c r="W215" s="5" t="s">
        <v>2612</v>
      </c>
      <c r="X215" s="5" t="s">
        <v>2612</v>
      </c>
      <c r="Y215" s="4">
        <v>126</v>
      </c>
      <c r="Z215" s="4">
        <v>112</v>
      </c>
      <c r="AA215" s="4">
        <v>119</v>
      </c>
      <c r="AB215" s="4">
        <v>3</v>
      </c>
      <c r="AC215" s="4">
        <v>3</v>
      </c>
      <c r="AD215" s="4">
        <v>19</v>
      </c>
      <c r="AE215" s="4">
        <v>19</v>
      </c>
      <c r="AF215" s="4">
        <v>3</v>
      </c>
      <c r="AG215" s="4">
        <v>3</v>
      </c>
      <c r="AH215" s="4">
        <v>6</v>
      </c>
      <c r="AI215" s="4">
        <v>6</v>
      </c>
      <c r="AJ215" s="4">
        <v>15</v>
      </c>
      <c r="AK215" s="4">
        <v>15</v>
      </c>
      <c r="AL215" s="4">
        <v>1</v>
      </c>
      <c r="AM215" s="4">
        <v>1</v>
      </c>
      <c r="AN215" s="4">
        <v>0</v>
      </c>
      <c r="AO215" s="4">
        <v>0</v>
      </c>
      <c r="AP215" s="3" t="s">
        <v>58</v>
      </c>
      <c r="AQ215" s="3" t="s">
        <v>58</v>
      </c>
      <c r="AS215" s="6" t="str">
        <f>HYPERLINK("https://creighton-primo.hosted.exlibrisgroup.com/primo-explore/search?tab=default_tab&amp;search_scope=EVERYTHING&amp;vid=01CRU&amp;lang=en_US&amp;offset=0&amp;query=any,contains,991002321569702656","Catalog Record")</f>
        <v>Catalog Record</v>
      </c>
      <c r="AT215" s="6" t="str">
        <f>HYPERLINK("http://www.worldcat.org/oclc/320374","WorldCat Record")</f>
        <v>WorldCat Record</v>
      </c>
      <c r="AU215" s="3" t="s">
        <v>2782</v>
      </c>
      <c r="AV215" s="3" t="s">
        <v>2783</v>
      </c>
      <c r="AW215" s="3" t="s">
        <v>2784</v>
      </c>
      <c r="AX215" s="3" t="s">
        <v>2784</v>
      </c>
      <c r="AY215" s="3" t="s">
        <v>2785</v>
      </c>
      <c r="AZ215" s="3" t="s">
        <v>75</v>
      </c>
      <c r="BC215" s="3" t="s">
        <v>2786</v>
      </c>
      <c r="BD215" s="3" t="s">
        <v>2787</v>
      </c>
    </row>
    <row r="216" spans="1:56" ht="39" customHeight="1" x14ac:dyDescent="0.25">
      <c r="A216" s="7" t="s">
        <v>58</v>
      </c>
      <c r="B216" s="2" t="s">
        <v>2788</v>
      </c>
      <c r="C216" s="2" t="s">
        <v>2789</v>
      </c>
      <c r="D216" s="2" t="s">
        <v>2790</v>
      </c>
      <c r="F216" s="3" t="s">
        <v>58</v>
      </c>
      <c r="G216" s="3" t="s">
        <v>59</v>
      </c>
      <c r="H216" s="3" t="s">
        <v>58</v>
      </c>
      <c r="I216" s="3" t="s">
        <v>58</v>
      </c>
      <c r="J216" s="3" t="s">
        <v>60</v>
      </c>
      <c r="K216" s="2" t="s">
        <v>2791</v>
      </c>
      <c r="L216" s="2" t="s">
        <v>2792</v>
      </c>
      <c r="M216" s="3" t="s">
        <v>2418</v>
      </c>
      <c r="O216" s="3" t="s">
        <v>65</v>
      </c>
      <c r="P216" s="3" t="s">
        <v>186</v>
      </c>
      <c r="R216" s="3" t="s">
        <v>68</v>
      </c>
      <c r="S216" s="4">
        <v>2</v>
      </c>
      <c r="T216" s="4">
        <v>2</v>
      </c>
      <c r="U216" s="5" t="s">
        <v>2793</v>
      </c>
      <c r="V216" s="5" t="s">
        <v>2793</v>
      </c>
      <c r="W216" s="5" t="s">
        <v>2612</v>
      </c>
      <c r="X216" s="5" t="s">
        <v>2612</v>
      </c>
      <c r="Y216" s="4">
        <v>128</v>
      </c>
      <c r="Z216" s="4">
        <v>117</v>
      </c>
      <c r="AA216" s="4">
        <v>128</v>
      </c>
      <c r="AB216" s="4">
        <v>1</v>
      </c>
      <c r="AC216" s="4">
        <v>1</v>
      </c>
      <c r="AD216" s="4">
        <v>9</v>
      </c>
      <c r="AE216" s="4">
        <v>11</v>
      </c>
      <c r="AF216" s="4">
        <v>4</v>
      </c>
      <c r="AG216" s="4">
        <v>5</v>
      </c>
      <c r="AH216" s="4">
        <v>3</v>
      </c>
      <c r="AI216" s="4">
        <v>3</v>
      </c>
      <c r="AJ216" s="4">
        <v>6</v>
      </c>
      <c r="AK216" s="4">
        <v>7</v>
      </c>
      <c r="AL216" s="4">
        <v>0</v>
      </c>
      <c r="AM216" s="4">
        <v>0</v>
      </c>
      <c r="AN216" s="4">
        <v>0</v>
      </c>
      <c r="AO216" s="4">
        <v>0</v>
      </c>
      <c r="AP216" s="3" t="s">
        <v>58</v>
      </c>
      <c r="AQ216" s="3" t="s">
        <v>58</v>
      </c>
      <c r="AS216" s="6" t="str">
        <f>HYPERLINK("https://creighton-primo.hosted.exlibrisgroup.com/primo-explore/search?tab=default_tab&amp;search_scope=EVERYTHING&amp;vid=01CRU&amp;lang=en_US&amp;offset=0&amp;query=any,contains,991002666659702656","Catalog Record")</f>
        <v>Catalog Record</v>
      </c>
      <c r="AT216" s="6" t="str">
        <f>HYPERLINK("http://www.worldcat.org/oclc/393462","WorldCat Record")</f>
        <v>WorldCat Record</v>
      </c>
      <c r="AU216" s="3" t="s">
        <v>2794</v>
      </c>
      <c r="AV216" s="3" t="s">
        <v>2795</v>
      </c>
      <c r="AW216" s="3" t="s">
        <v>2796</v>
      </c>
      <c r="AX216" s="3" t="s">
        <v>2796</v>
      </c>
      <c r="AY216" s="3" t="s">
        <v>2797</v>
      </c>
      <c r="AZ216" s="3" t="s">
        <v>75</v>
      </c>
      <c r="BB216" s="3" t="s">
        <v>2798</v>
      </c>
      <c r="BC216" s="3" t="s">
        <v>2799</v>
      </c>
      <c r="BD216" s="3" t="s">
        <v>2800</v>
      </c>
    </row>
    <row r="217" spans="1:56" ht="39" customHeight="1" x14ac:dyDescent="0.25">
      <c r="A217" s="7" t="s">
        <v>58</v>
      </c>
      <c r="B217" s="2" t="s">
        <v>2801</v>
      </c>
      <c r="C217" s="2" t="s">
        <v>2802</v>
      </c>
      <c r="D217" s="2" t="s">
        <v>2803</v>
      </c>
      <c r="F217" s="3" t="s">
        <v>58</v>
      </c>
      <c r="G217" s="3" t="s">
        <v>59</v>
      </c>
      <c r="H217" s="3" t="s">
        <v>58</v>
      </c>
      <c r="I217" s="3" t="s">
        <v>58</v>
      </c>
      <c r="J217" s="3" t="s">
        <v>60</v>
      </c>
      <c r="K217" s="2" t="s">
        <v>2804</v>
      </c>
      <c r="L217" s="2" t="s">
        <v>2805</v>
      </c>
      <c r="M217" s="3" t="s">
        <v>303</v>
      </c>
      <c r="O217" s="3" t="s">
        <v>65</v>
      </c>
      <c r="P217" s="3" t="s">
        <v>84</v>
      </c>
      <c r="Q217" s="2" t="s">
        <v>2806</v>
      </c>
      <c r="R217" s="3" t="s">
        <v>68</v>
      </c>
      <c r="S217" s="4">
        <v>3</v>
      </c>
      <c r="T217" s="4">
        <v>3</v>
      </c>
      <c r="U217" s="5" t="s">
        <v>2807</v>
      </c>
      <c r="V217" s="5" t="s">
        <v>2807</v>
      </c>
      <c r="W217" s="5" t="s">
        <v>2069</v>
      </c>
      <c r="X217" s="5" t="s">
        <v>2069</v>
      </c>
      <c r="Y217" s="4">
        <v>192</v>
      </c>
      <c r="Z217" s="4">
        <v>134</v>
      </c>
      <c r="AA217" s="4">
        <v>266</v>
      </c>
      <c r="AB217" s="4">
        <v>1</v>
      </c>
      <c r="AC217" s="4">
        <v>1</v>
      </c>
      <c r="AD217" s="4">
        <v>4</v>
      </c>
      <c r="AE217" s="4">
        <v>9</v>
      </c>
      <c r="AF217" s="4">
        <v>2</v>
      </c>
      <c r="AG217" s="4">
        <v>3</v>
      </c>
      <c r="AH217" s="4">
        <v>0</v>
      </c>
      <c r="AI217" s="4">
        <v>1</v>
      </c>
      <c r="AJ217" s="4">
        <v>3</v>
      </c>
      <c r="AK217" s="4">
        <v>6</v>
      </c>
      <c r="AL217" s="4">
        <v>0</v>
      </c>
      <c r="AM217" s="4">
        <v>0</v>
      </c>
      <c r="AN217" s="4">
        <v>0</v>
      </c>
      <c r="AO217" s="4">
        <v>0</v>
      </c>
      <c r="AP217" s="3" t="s">
        <v>58</v>
      </c>
      <c r="AQ217" s="3" t="s">
        <v>58</v>
      </c>
      <c r="AS217" s="6" t="str">
        <f>HYPERLINK("https://creighton-primo.hosted.exlibrisgroup.com/primo-explore/search?tab=default_tab&amp;search_scope=EVERYTHING&amp;vid=01CRU&amp;lang=en_US&amp;offset=0&amp;query=any,contains,991004019049702656","Catalog Record")</f>
        <v>Catalog Record</v>
      </c>
      <c r="AT217" s="6" t="str">
        <f>HYPERLINK("http://www.worldcat.org/oclc/2119416","WorldCat Record")</f>
        <v>WorldCat Record</v>
      </c>
      <c r="AU217" s="3" t="s">
        <v>2808</v>
      </c>
      <c r="AV217" s="3" t="s">
        <v>2809</v>
      </c>
      <c r="AW217" s="3" t="s">
        <v>2810</v>
      </c>
      <c r="AX217" s="3" t="s">
        <v>2810</v>
      </c>
      <c r="AY217" s="3" t="s">
        <v>2811</v>
      </c>
      <c r="AZ217" s="3" t="s">
        <v>75</v>
      </c>
      <c r="BB217" s="3" t="s">
        <v>2812</v>
      </c>
      <c r="BC217" s="3" t="s">
        <v>2813</v>
      </c>
      <c r="BD217" s="3" t="s">
        <v>2814</v>
      </c>
    </row>
    <row r="218" spans="1:56" ht="39" customHeight="1" x14ac:dyDescent="0.25">
      <c r="A218" s="7" t="s">
        <v>58</v>
      </c>
      <c r="B218" s="2" t="s">
        <v>2815</v>
      </c>
      <c r="C218" s="2" t="s">
        <v>2816</v>
      </c>
      <c r="D218" s="2" t="s">
        <v>2817</v>
      </c>
      <c r="F218" s="3" t="s">
        <v>58</v>
      </c>
      <c r="G218" s="3" t="s">
        <v>59</v>
      </c>
      <c r="H218" s="3" t="s">
        <v>58</v>
      </c>
      <c r="I218" s="3" t="s">
        <v>58</v>
      </c>
      <c r="J218" s="3" t="s">
        <v>60</v>
      </c>
      <c r="K218" s="2" t="s">
        <v>2818</v>
      </c>
      <c r="L218" s="2" t="s">
        <v>2819</v>
      </c>
      <c r="M218" s="3" t="s">
        <v>1371</v>
      </c>
      <c r="O218" s="3" t="s">
        <v>65</v>
      </c>
      <c r="P218" s="3" t="s">
        <v>186</v>
      </c>
      <c r="R218" s="3" t="s">
        <v>68</v>
      </c>
      <c r="S218" s="4">
        <v>1</v>
      </c>
      <c r="T218" s="4">
        <v>1</v>
      </c>
      <c r="U218" s="5" t="s">
        <v>2820</v>
      </c>
      <c r="V218" s="5" t="s">
        <v>2820</v>
      </c>
      <c r="W218" s="5" t="s">
        <v>2069</v>
      </c>
      <c r="X218" s="5" t="s">
        <v>2069</v>
      </c>
      <c r="Y218" s="4">
        <v>285</v>
      </c>
      <c r="Z218" s="4">
        <v>243</v>
      </c>
      <c r="AA218" s="4">
        <v>248</v>
      </c>
      <c r="AB218" s="4">
        <v>1</v>
      </c>
      <c r="AC218" s="4">
        <v>1</v>
      </c>
      <c r="AD218" s="4">
        <v>12</v>
      </c>
      <c r="AE218" s="4">
        <v>12</v>
      </c>
      <c r="AF218" s="4">
        <v>5</v>
      </c>
      <c r="AG218" s="4">
        <v>5</v>
      </c>
      <c r="AH218" s="4">
        <v>1</v>
      </c>
      <c r="AI218" s="4">
        <v>1</v>
      </c>
      <c r="AJ218" s="4">
        <v>7</v>
      </c>
      <c r="AK218" s="4">
        <v>7</v>
      </c>
      <c r="AL218" s="4">
        <v>0</v>
      </c>
      <c r="AM218" s="4">
        <v>0</v>
      </c>
      <c r="AN218" s="4">
        <v>0</v>
      </c>
      <c r="AO218" s="4">
        <v>0</v>
      </c>
      <c r="AP218" s="3" t="s">
        <v>132</v>
      </c>
      <c r="AQ218" s="3" t="s">
        <v>58</v>
      </c>
      <c r="AR218" s="6" t="str">
        <f>HYPERLINK("http://catalog.hathitrust.org/Record/102044087","HathiTrust Record")</f>
        <v>HathiTrust Record</v>
      </c>
      <c r="AS218" s="6" t="str">
        <f>HYPERLINK("https://creighton-primo.hosted.exlibrisgroup.com/primo-explore/search?tab=default_tab&amp;search_scope=EVERYTHING&amp;vid=01CRU&amp;lang=en_US&amp;offset=0&amp;query=any,contains,991004318669702656","Catalog Record")</f>
        <v>Catalog Record</v>
      </c>
      <c r="AT218" s="6" t="str">
        <f>HYPERLINK("http://www.worldcat.org/oclc/3015529","WorldCat Record")</f>
        <v>WorldCat Record</v>
      </c>
      <c r="AU218" s="3" t="s">
        <v>2821</v>
      </c>
      <c r="AV218" s="3" t="s">
        <v>2822</v>
      </c>
      <c r="AW218" s="3" t="s">
        <v>2823</v>
      </c>
      <c r="AX218" s="3" t="s">
        <v>2823</v>
      </c>
      <c r="AY218" s="3" t="s">
        <v>2824</v>
      </c>
      <c r="AZ218" s="3" t="s">
        <v>75</v>
      </c>
      <c r="BC218" s="3" t="s">
        <v>2825</v>
      </c>
      <c r="BD218" s="3" t="s">
        <v>2826</v>
      </c>
    </row>
    <row r="219" spans="1:56" ht="39" customHeight="1" x14ac:dyDescent="0.25">
      <c r="A219" s="7" t="s">
        <v>58</v>
      </c>
      <c r="B219" s="2" t="s">
        <v>2827</v>
      </c>
      <c r="C219" s="2" t="s">
        <v>2828</v>
      </c>
      <c r="D219" s="2" t="s">
        <v>2829</v>
      </c>
      <c r="F219" s="3" t="s">
        <v>58</v>
      </c>
      <c r="G219" s="3" t="s">
        <v>59</v>
      </c>
      <c r="H219" s="3" t="s">
        <v>58</v>
      </c>
      <c r="I219" s="3" t="s">
        <v>58</v>
      </c>
      <c r="J219" s="3" t="s">
        <v>60</v>
      </c>
      <c r="L219" s="2" t="s">
        <v>2830</v>
      </c>
      <c r="M219" s="3" t="s">
        <v>1371</v>
      </c>
      <c r="N219" s="2" t="s">
        <v>2831</v>
      </c>
      <c r="O219" s="3" t="s">
        <v>65</v>
      </c>
      <c r="P219" s="3" t="s">
        <v>954</v>
      </c>
      <c r="R219" s="3" t="s">
        <v>68</v>
      </c>
      <c r="S219" s="4">
        <v>8</v>
      </c>
      <c r="T219" s="4">
        <v>8</v>
      </c>
      <c r="U219" s="5" t="s">
        <v>1193</v>
      </c>
      <c r="V219" s="5" t="s">
        <v>1193</v>
      </c>
      <c r="W219" s="5" t="s">
        <v>2069</v>
      </c>
      <c r="X219" s="5" t="s">
        <v>2069</v>
      </c>
      <c r="Y219" s="4">
        <v>343</v>
      </c>
      <c r="Z219" s="4">
        <v>298</v>
      </c>
      <c r="AA219" s="4">
        <v>300</v>
      </c>
      <c r="AB219" s="4">
        <v>2</v>
      </c>
      <c r="AC219" s="4">
        <v>2</v>
      </c>
      <c r="AD219" s="4">
        <v>14</v>
      </c>
      <c r="AE219" s="4">
        <v>14</v>
      </c>
      <c r="AF219" s="4">
        <v>6</v>
      </c>
      <c r="AG219" s="4">
        <v>6</v>
      </c>
      <c r="AH219" s="4">
        <v>1</v>
      </c>
      <c r="AI219" s="4">
        <v>1</v>
      </c>
      <c r="AJ219" s="4">
        <v>7</v>
      </c>
      <c r="AK219" s="4">
        <v>7</v>
      </c>
      <c r="AL219" s="4">
        <v>1</v>
      </c>
      <c r="AM219" s="4">
        <v>1</v>
      </c>
      <c r="AN219" s="4">
        <v>0</v>
      </c>
      <c r="AO219" s="4">
        <v>0</v>
      </c>
      <c r="AP219" s="3" t="s">
        <v>58</v>
      </c>
      <c r="AQ219" s="3" t="s">
        <v>58</v>
      </c>
      <c r="AS219" s="6" t="str">
        <f>HYPERLINK("https://creighton-primo.hosted.exlibrisgroup.com/primo-explore/search?tab=default_tab&amp;search_scope=EVERYTHING&amp;vid=01CRU&amp;lang=en_US&amp;offset=0&amp;query=any,contains,991003724669702656","Catalog Record")</f>
        <v>Catalog Record</v>
      </c>
      <c r="AT219" s="6" t="str">
        <f>HYPERLINK("http://www.worldcat.org/oclc/1370633","WorldCat Record")</f>
        <v>WorldCat Record</v>
      </c>
      <c r="AU219" s="3" t="s">
        <v>2832</v>
      </c>
      <c r="AV219" s="3" t="s">
        <v>2833</v>
      </c>
      <c r="AW219" s="3" t="s">
        <v>2834</v>
      </c>
      <c r="AX219" s="3" t="s">
        <v>2834</v>
      </c>
      <c r="AY219" s="3" t="s">
        <v>2835</v>
      </c>
      <c r="AZ219" s="3" t="s">
        <v>75</v>
      </c>
      <c r="BC219" s="3" t="s">
        <v>2836</v>
      </c>
      <c r="BD219" s="3" t="s">
        <v>2837</v>
      </c>
    </row>
    <row r="220" spans="1:56" ht="39" customHeight="1" x14ac:dyDescent="0.25">
      <c r="A220" s="7" t="s">
        <v>58</v>
      </c>
      <c r="B220" s="2" t="s">
        <v>2838</v>
      </c>
      <c r="C220" s="2" t="s">
        <v>2839</v>
      </c>
      <c r="D220" s="2" t="s">
        <v>2840</v>
      </c>
      <c r="F220" s="3" t="s">
        <v>58</v>
      </c>
      <c r="G220" s="3" t="s">
        <v>59</v>
      </c>
      <c r="H220" s="3" t="s">
        <v>58</v>
      </c>
      <c r="I220" s="3" t="s">
        <v>58</v>
      </c>
      <c r="J220" s="3" t="s">
        <v>60</v>
      </c>
      <c r="K220" s="2" t="s">
        <v>2841</v>
      </c>
      <c r="L220" s="2" t="s">
        <v>2842</v>
      </c>
      <c r="M220" s="3" t="s">
        <v>427</v>
      </c>
      <c r="O220" s="3" t="s">
        <v>65</v>
      </c>
      <c r="P220" s="3" t="s">
        <v>201</v>
      </c>
      <c r="R220" s="3" t="s">
        <v>68</v>
      </c>
      <c r="S220" s="4">
        <v>7</v>
      </c>
      <c r="T220" s="4">
        <v>7</v>
      </c>
      <c r="U220" s="5" t="s">
        <v>2244</v>
      </c>
      <c r="V220" s="5" t="s">
        <v>2244</v>
      </c>
      <c r="W220" s="5" t="s">
        <v>2612</v>
      </c>
      <c r="X220" s="5" t="s">
        <v>2612</v>
      </c>
      <c r="Y220" s="4">
        <v>97</v>
      </c>
      <c r="Z220" s="4">
        <v>85</v>
      </c>
      <c r="AA220" s="4">
        <v>92</v>
      </c>
      <c r="AB220" s="4">
        <v>1</v>
      </c>
      <c r="AC220" s="4">
        <v>1</v>
      </c>
      <c r="AD220" s="4">
        <v>12</v>
      </c>
      <c r="AE220" s="4">
        <v>13</v>
      </c>
      <c r="AF220" s="4">
        <v>2</v>
      </c>
      <c r="AG220" s="4">
        <v>2</v>
      </c>
      <c r="AH220" s="4">
        <v>3</v>
      </c>
      <c r="AI220" s="4">
        <v>3</v>
      </c>
      <c r="AJ220" s="4">
        <v>10</v>
      </c>
      <c r="AK220" s="4">
        <v>11</v>
      </c>
      <c r="AL220" s="4">
        <v>0</v>
      </c>
      <c r="AM220" s="4">
        <v>0</v>
      </c>
      <c r="AN220" s="4">
        <v>0</v>
      </c>
      <c r="AO220" s="4">
        <v>0</v>
      </c>
      <c r="AP220" s="3" t="s">
        <v>58</v>
      </c>
      <c r="AQ220" s="3" t="s">
        <v>58</v>
      </c>
      <c r="AS220" s="6" t="str">
        <f>HYPERLINK("https://creighton-primo.hosted.exlibrisgroup.com/primo-explore/search?tab=default_tab&amp;search_scope=EVERYTHING&amp;vid=01CRU&amp;lang=en_US&amp;offset=0&amp;query=any,contains,991004938519702656","Catalog Record")</f>
        <v>Catalog Record</v>
      </c>
      <c r="AT220" s="6" t="str">
        <f>HYPERLINK("http://www.worldcat.org/oclc/6153084","WorldCat Record")</f>
        <v>WorldCat Record</v>
      </c>
      <c r="AU220" s="3" t="s">
        <v>2843</v>
      </c>
      <c r="AV220" s="3" t="s">
        <v>2844</v>
      </c>
      <c r="AW220" s="3" t="s">
        <v>2845</v>
      </c>
      <c r="AX220" s="3" t="s">
        <v>2845</v>
      </c>
      <c r="AY220" s="3" t="s">
        <v>2846</v>
      </c>
      <c r="AZ220" s="3" t="s">
        <v>75</v>
      </c>
      <c r="BB220" s="3" t="s">
        <v>2847</v>
      </c>
      <c r="BC220" s="3" t="s">
        <v>2848</v>
      </c>
      <c r="BD220" s="3" t="s">
        <v>2849</v>
      </c>
    </row>
    <row r="221" spans="1:56" ht="39" customHeight="1" x14ac:dyDescent="0.25">
      <c r="A221" s="7" t="s">
        <v>58</v>
      </c>
      <c r="B221" s="2" t="s">
        <v>2850</v>
      </c>
      <c r="C221" s="2" t="s">
        <v>2851</v>
      </c>
      <c r="D221" s="2" t="s">
        <v>2852</v>
      </c>
      <c r="F221" s="3" t="s">
        <v>58</v>
      </c>
      <c r="G221" s="3" t="s">
        <v>59</v>
      </c>
      <c r="H221" s="3" t="s">
        <v>58</v>
      </c>
      <c r="I221" s="3" t="s">
        <v>58</v>
      </c>
      <c r="J221" s="3" t="s">
        <v>60</v>
      </c>
      <c r="K221" s="2" t="s">
        <v>2853</v>
      </c>
      <c r="L221" s="2" t="s">
        <v>2854</v>
      </c>
      <c r="M221" s="3" t="s">
        <v>2855</v>
      </c>
      <c r="O221" s="3" t="s">
        <v>65</v>
      </c>
      <c r="P221" s="3" t="s">
        <v>186</v>
      </c>
      <c r="R221" s="3" t="s">
        <v>68</v>
      </c>
      <c r="S221" s="4">
        <v>1</v>
      </c>
      <c r="T221" s="4">
        <v>1</v>
      </c>
      <c r="U221" s="5" t="s">
        <v>2856</v>
      </c>
      <c r="V221" s="5" t="s">
        <v>2856</v>
      </c>
      <c r="W221" s="5" t="s">
        <v>2612</v>
      </c>
      <c r="X221" s="5" t="s">
        <v>2612</v>
      </c>
      <c r="Y221" s="4">
        <v>15</v>
      </c>
      <c r="Z221" s="4">
        <v>11</v>
      </c>
      <c r="AA221" s="4">
        <v>182</v>
      </c>
      <c r="AB221" s="4">
        <v>1</v>
      </c>
      <c r="AC221" s="4">
        <v>3</v>
      </c>
      <c r="AD221" s="4">
        <v>0</v>
      </c>
      <c r="AE221" s="4">
        <v>17</v>
      </c>
      <c r="AF221" s="4">
        <v>0</v>
      </c>
      <c r="AG221" s="4">
        <v>6</v>
      </c>
      <c r="AH221" s="4">
        <v>0</v>
      </c>
      <c r="AI221" s="4">
        <v>3</v>
      </c>
      <c r="AJ221" s="4">
        <v>0</v>
      </c>
      <c r="AK221" s="4">
        <v>9</v>
      </c>
      <c r="AL221" s="4">
        <v>0</v>
      </c>
      <c r="AM221" s="4">
        <v>2</v>
      </c>
      <c r="AN221" s="4">
        <v>0</v>
      </c>
      <c r="AO221" s="4">
        <v>0</v>
      </c>
      <c r="AP221" s="3" t="s">
        <v>58</v>
      </c>
      <c r="AQ221" s="3" t="s">
        <v>58</v>
      </c>
      <c r="AS221" s="6" t="str">
        <f>HYPERLINK("https://creighton-primo.hosted.exlibrisgroup.com/primo-explore/search?tab=default_tab&amp;search_scope=EVERYTHING&amp;vid=01CRU&amp;lang=en_US&amp;offset=0&amp;query=any,contains,991000058599702656","Catalog Record")</f>
        <v>Catalog Record</v>
      </c>
      <c r="AT221" s="6" t="str">
        <f>HYPERLINK("http://www.worldcat.org/oclc/8719971","WorldCat Record")</f>
        <v>WorldCat Record</v>
      </c>
      <c r="AU221" s="3" t="s">
        <v>2857</v>
      </c>
      <c r="AV221" s="3" t="s">
        <v>2858</v>
      </c>
      <c r="AW221" s="3" t="s">
        <v>2859</v>
      </c>
      <c r="AX221" s="3" t="s">
        <v>2859</v>
      </c>
      <c r="AY221" s="3" t="s">
        <v>2860</v>
      </c>
      <c r="AZ221" s="3" t="s">
        <v>75</v>
      </c>
      <c r="BC221" s="3" t="s">
        <v>2861</v>
      </c>
      <c r="BD221" s="3" t="s">
        <v>2862</v>
      </c>
    </row>
    <row r="222" spans="1:56" ht="39" customHeight="1" x14ac:dyDescent="0.25">
      <c r="A222" s="7" t="s">
        <v>58</v>
      </c>
      <c r="B222" s="2" t="s">
        <v>2863</v>
      </c>
      <c r="C222" s="2" t="s">
        <v>2864</v>
      </c>
      <c r="D222" s="2" t="s">
        <v>2865</v>
      </c>
      <c r="F222" s="3" t="s">
        <v>58</v>
      </c>
      <c r="G222" s="3" t="s">
        <v>59</v>
      </c>
      <c r="H222" s="3" t="s">
        <v>58</v>
      </c>
      <c r="I222" s="3" t="s">
        <v>58</v>
      </c>
      <c r="J222" s="3" t="s">
        <v>60</v>
      </c>
      <c r="K222" s="2" t="s">
        <v>2866</v>
      </c>
      <c r="L222" s="2" t="s">
        <v>2867</v>
      </c>
      <c r="M222" s="3" t="s">
        <v>845</v>
      </c>
      <c r="O222" s="3" t="s">
        <v>65</v>
      </c>
      <c r="P222" s="3" t="s">
        <v>571</v>
      </c>
      <c r="Q222" s="2" t="s">
        <v>2868</v>
      </c>
      <c r="R222" s="3" t="s">
        <v>68</v>
      </c>
      <c r="S222" s="4">
        <v>5</v>
      </c>
      <c r="T222" s="4">
        <v>5</v>
      </c>
      <c r="U222" s="5" t="s">
        <v>2869</v>
      </c>
      <c r="V222" s="5" t="s">
        <v>2869</v>
      </c>
      <c r="W222" s="5" t="s">
        <v>2612</v>
      </c>
      <c r="X222" s="5" t="s">
        <v>2612</v>
      </c>
      <c r="Y222" s="4">
        <v>177</v>
      </c>
      <c r="Z222" s="4">
        <v>158</v>
      </c>
      <c r="AA222" s="4">
        <v>164</v>
      </c>
      <c r="AB222" s="4">
        <v>2</v>
      </c>
      <c r="AC222" s="4">
        <v>2</v>
      </c>
      <c r="AD222" s="4">
        <v>27</v>
      </c>
      <c r="AE222" s="4">
        <v>27</v>
      </c>
      <c r="AF222" s="4">
        <v>9</v>
      </c>
      <c r="AG222" s="4">
        <v>9</v>
      </c>
      <c r="AH222" s="4">
        <v>7</v>
      </c>
      <c r="AI222" s="4">
        <v>7</v>
      </c>
      <c r="AJ222" s="4">
        <v>21</v>
      </c>
      <c r="AK222" s="4">
        <v>21</v>
      </c>
      <c r="AL222" s="4">
        <v>0</v>
      </c>
      <c r="AM222" s="4">
        <v>0</v>
      </c>
      <c r="AN222" s="4">
        <v>0</v>
      </c>
      <c r="AO222" s="4">
        <v>0</v>
      </c>
      <c r="AP222" s="3" t="s">
        <v>58</v>
      </c>
      <c r="AQ222" s="3" t="s">
        <v>58</v>
      </c>
      <c r="AS222" s="6" t="str">
        <f>HYPERLINK("https://creighton-primo.hosted.exlibrisgroup.com/primo-explore/search?tab=default_tab&amp;search_scope=EVERYTHING&amp;vid=01CRU&amp;lang=en_US&amp;offset=0&amp;query=any,contains,991000115299702656","Catalog Record")</f>
        <v>Catalog Record</v>
      </c>
      <c r="AT222" s="6" t="str">
        <f>HYPERLINK("http://www.worldcat.org/oclc/49045","WorldCat Record")</f>
        <v>WorldCat Record</v>
      </c>
      <c r="AU222" s="3" t="s">
        <v>2870</v>
      </c>
      <c r="AV222" s="3" t="s">
        <v>2871</v>
      </c>
      <c r="AW222" s="3" t="s">
        <v>2872</v>
      </c>
      <c r="AX222" s="3" t="s">
        <v>2872</v>
      </c>
      <c r="AY222" s="3" t="s">
        <v>2873</v>
      </c>
      <c r="AZ222" s="3" t="s">
        <v>75</v>
      </c>
      <c r="BC222" s="3" t="s">
        <v>2874</v>
      </c>
      <c r="BD222" s="3" t="s">
        <v>2875</v>
      </c>
    </row>
    <row r="223" spans="1:56" ht="39" customHeight="1" x14ac:dyDescent="0.25">
      <c r="A223" s="7" t="s">
        <v>58</v>
      </c>
      <c r="B223" s="2" t="s">
        <v>2876</v>
      </c>
      <c r="C223" s="2" t="s">
        <v>2877</v>
      </c>
      <c r="D223" s="2" t="s">
        <v>2878</v>
      </c>
      <c r="F223" s="3" t="s">
        <v>58</v>
      </c>
      <c r="G223" s="3" t="s">
        <v>59</v>
      </c>
      <c r="H223" s="3" t="s">
        <v>58</v>
      </c>
      <c r="I223" s="3" t="s">
        <v>58</v>
      </c>
      <c r="J223" s="3" t="s">
        <v>60</v>
      </c>
      <c r="K223" s="2" t="s">
        <v>2879</v>
      </c>
      <c r="L223" s="2" t="s">
        <v>2880</v>
      </c>
      <c r="M223" s="3" t="s">
        <v>462</v>
      </c>
      <c r="O223" s="3" t="s">
        <v>65</v>
      </c>
      <c r="P223" s="3" t="s">
        <v>2303</v>
      </c>
      <c r="Q223" s="2" t="s">
        <v>2881</v>
      </c>
      <c r="R223" s="3" t="s">
        <v>68</v>
      </c>
      <c r="S223" s="4">
        <v>2</v>
      </c>
      <c r="T223" s="4">
        <v>2</v>
      </c>
      <c r="U223" s="5" t="s">
        <v>2882</v>
      </c>
      <c r="V223" s="5" t="s">
        <v>2882</v>
      </c>
      <c r="W223" s="5" t="s">
        <v>2521</v>
      </c>
      <c r="X223" s="5" t="s">
        <v>2521</v>
      </c>
      <c r="Y223" s="4">
        <v>93</v>
      </c>
      <c r="Z223" s="4">
        <v>81</v>
      </c>
      <c r="AA223" s="4">
        <v>182</v>
      </c>
      <c r="AB223" s="4">
        <v>1</v>
      </c>
      <c r="AC223" s="4">
        <v>2</v>
      </c>
      <c r="AD223" s="4">
        <v>8</v>
      </c>
      <c r="AE223" s="4">
        <v>10</v>
      </c>
      <c r="AF223" s="4">
        <v>2</v>
      </c>
      <c r="AG223" s="4">
        <v>3</v>
      </c>
      <c r="AH223" s="4">
        <v>4</v>
      </c>
      <c r="AI223" s="4">
        <v>4</v>
      </c>
      <c r="AJ223" s="4">
        <v>5</v>
      </c>
      <c r="AK223" s="4">
        <v>5</v>
      </c>
      <c r="AL223" s="4">
        <v>0</v>
      </c>
      <c r="AM223" s="4">
        <v>1</v>
      </c>
      <c r="AN223" s="4">
        <v>0</v>
      </c>
      <c r="AO223" s="4">
        <v>0</v>
      </c>
      <c r="AP223" s="3" t="s">
        <v>58</v>
      </c>
      <c r="AQ223" s="3" t="s">
        <v>58</v>
      </c>
      <c r="AS223" s="6" t="str">
        <f>HYPERLINK("https://creighton-primo.hosted.exlibrisgroup.com/primo-explore/search?tab=default_tab&amp;search_scope=EVERYTHING&amp;vid=01CRU&amp;lang=en_US&amp;offset=0&amp;query=any,contains,991000422209702656","Catalog Record")</f>
        <v>Catalog Record</v>
      </c>
      <c r="AT223" s="6" t="str">
        <f>HYPERLINK("http://www.worldcat.org/oclc/10750452","WorldCat Record")</f>
        <v>WorldCat Record</v>
      </c>
      <c r="AU223" s="3" t="s">
        <v>2883</v>
      </c>
      <c r="AV223" s="3" t="s">
        <v>2884</v>
      </c>
      <c r="AW223" s="3" t="s">
        <v>2885</v>
      </c>
      <c r="AX223" s="3" t="s">
        <v>2885</v>
      </c>
      <c r="AY223" s="3" t="s">
        <v>2886</v>
      </c>
      <c r="AZ223" s="3" t="s">
        <v>75</v>
      </c>
      <c r="BB223" s="3" t="s">
        <v>2887</v>
      </c>
      <c r="BC223" s="3" t="s">
        <v>2888</v>
      </c>
      <c r="BD223" s="3" t="s">
        <v>2889</v>
      </c>
    </row>
    <row r="224" spans="1:56" ht="39" customHeight="1" x14ac:dyDescent="0.25">
      <c r="A224" s="7" t="s">
        <v>58</v>
      </c>
      <c r="B224" s="2" t="s">
        <v>2890</v>
      </c>
      <c r="C224" s="2" t="s">
        <v>2891</v>
      </c>
      <c r="D224" s="2" t="s">
        <v>2892</v>
      </c>
      <c r="F224" s="3" t="s">
        <v>58</v>
      </c>
      <c r="G224" s="3" t="s">
        <v>59</v>
      </c>
      <c r="H224" s="3" t="s">
        <v>58</v>
      </c>
      <c r="I224" s="3" t="s">
        <v>58</v>
      </c>
      <c r="J224" s="3" t="s">
        <v>60</v>
      </c>
      <c r="K224" s="2" t="s">
        <v>2893</v>
      </c>
      <c r="L224" s="2" t="s">
        <v>2894</v>
      </c>
      <c r="M224" s="3" t="s">
        <v>781</v>
      </c>
      <c r="O224" s="3" t="s">
        <v>65</v>
      </c>
      <c r="P224" s="3" t="s">
        <v>304</v>
      </c>
      <c r="R224" s="3" t="s">
        <v>68</v>
      </c>
      <c r="S224" s="4">
        <v>4</v>
      </c>
      <c r="T224" s="4">
        <v>4</v>
      </c>
      <c r="U224" s="5" t="s">
        <v>2895</v>
      </c>
      <c r="V224" s="5" t="s">
        <v>2895</v>
      </c>
      <c r="W224" s="5" t="s">
        <v>2612</v>
      </c>
      <c r="X224" s="5" t="s">
        <v>2612</v>
      </c>
      <c r="Y224" s="4">
        <v>109</v>
      </c>
      <c r="Z224" s="4">
        <v>96</v>
      </c>
      <c r="AA224" s="4">
        <v>101</v>
      </c>
      <c r="AB224" s="4">
        <v>2</v>
      </c>
      <c r="AC224" s="4">
        <v>2</v>
      </c>
      <c r="AD224" s="4">
        <v>9</v>
      </c>
      <c r="AE224" s="4">
        <v>9</v>
      </c>
      <c r="AF224" s="4">
        <v>2</v>
      </c>
      <c r="AG224" s="4">
        <v>2</v>
      </c>
      <c r="AH224" s="4">
        <v>1</v>
      </c>
      <c r="AI224" s="4">
        <v>1</v>
      </c>
      <c r="AJ224" s="4">
        <v>8</v>
      </c>
      <c r="AK224" s="4">
        <v>8</v>
      </c>
      <c r="AL224" s="4">
        <v>0</v>
      </c>
      <c r="AM224" s="4">
        <v>0</v>
      </c>
      <c r="AN224" s="4">
        <v>0</v>
      </c>
      <c r="AO224" s="4">
        <v>0</v>
      </c>
      <c r="AP224" s="3" t="s">
        <v>58</v>
      </c>
      <c r="AQ224" s="3" t="s">
        <v>58</v>
      </c>
      <c r="AS224" s="6" t="str">
        <f>HYPERLINK("https://creighton-primo.hosted.exlibrisgroup.com/primo-explore/search?tab=default_tab&amp;search_scope=EVERYTHING&amp;vid=01CRU&amp;lang=en_US&amp;offset=0&amp;query=any,contains,991000616779702656","Catalog Record")</f>
        <v>Catalog Record</v>
      </c>
      <c r="AT224" s="6" t="str">
        <f>HYPERLINK("http://www.worldcat.org/oclc/12345364","WorldCat Record")</f>
        <v>WorldCat Record</v>
      </c>
      <c r="AU224" s="3" t="s">
        <v>2896</v>
      </c>
      <c r="AV224" s="3" t="s">
        <v>2897</v>
      </c>
      <c r="AW224" s="3" t="s">
        <v>2898</v>
      </c>
      <c r="AX224" s="3" t="s">
        <v>2898</v>
      </c>
      <c r="AY224" s="3" t="s">
        <v>2899</v>
      </c>
      <c r="AZ224" s="3" t="s">
        <v>75</v>
      </c>
      <c r="BC224" s="3" t="s">
        <v>2900</v>
      </c>
      <c r="BD224" s="3" t="s">
        <v>2901</v>
      </c>
    </row>
    <row r="225" spans="1:56" ht="39" customHeight="1" x14ac:dyDescent="0.25">
      <c r="A225" s="7" t="s">
        <v>58</v>
      </c>
      <c r="B225" s="2" t="s">
        <v>2902</v>
      </c>
      <c r="C225" s="2" t="s">
        <v>2903</v>
      </c>
      <c r="D225" s="2" t="s">
        <v>2904</v>
      </c>
      <c r="F225" s="3" t="s">
        <v>58</v>
      </c>
      <c r="G225" s="3" t="s">
        <v>59</v>
      </c>
      <c r="H225" s="3" t="s">
        <v>58</v>
      </c>
      <c r="I225" s="3" t="s">
        <v>58</v>
      </c>
      <c r="J225" s="3" t="s">
        <v>60</v>
      </c>
      <c r="K225" s="2" t="s">
        <v>2905</v>
      </c>
      <c r="L225" s="2" t="s">
        <v>2906</v>
      </c>
      <c r="M225" s="3" t="s">
        <v>361</v>
      </c>
      <c r="O225" s="3" t="s">
        <v>65</v>
      </c>
      <c r="P225" s="3" t="s">
        <v>186</v>
      </c>
      <c r="R225" s="3" t="s">
        <v>68</v>
      </c>
      <c r="S225" s="4">
        <v>2</v>
      </c>
      <c r="T225" s="4">
        <v>2</v>
      </c>
      <c r="U225" s="5" t="s">
        <v>2431</v>
      </c>
      <c r="V225" s="5" t="s">
        <v>2431</v>
      </c>
      <c r="W225" s="5" t="s">
        <v>2907</v>
      </c>
      <c r="X225" s="5" t="s">
        <v>2907</v>
      </c>
      <c r="Y225" s="4">
        <v>41</v>
      </c>
      <c r="Z225" s="4">
        <v>39</v>
      </c>
      <c r="AA225" s="4">
        <v>39</v>
      </c>
      <c r="AB225" s="4">
        <v>1</v>
      </c>
      <c r="AC225" s="4">
        <v>1</v>
      </c>
      <c r="AD225" s="4">
        <v>5</v>
      </c>
      <c r="AE225" s="4">
        <v>5</v>
      </c>
      <c r="AF225" s="4">
        <v>1</v>
      </c>
      <c r="AG225" s="4">
        <v>1</v>
      </c>
      <c r="AH225" s="4">
        <v>1</v>
      </c>
      <c r="AI225" s="4">
        <v>1</v>
      </c>
      <c r="AJ225" s="4">
        <v>4</v>
      </c>
      <c r="AK225" s="4">
        <v>4</v>
      </c>
      <c r="AL225" s="4">
        <v>0</v>
      </c>
      <c r="AM225" s="4">
        <v>0</v>
      </c>
      <c r="AN225" s="4">
        <v>0</v>
      </c>
      <c r="AO225" s="4">
        <v>0</v>
      </c>
      <c r="AP225" s="3" t="s">
        <v>58</v>
      </c>
      <c r="AQ225" s="3" t="s">
        <v>58</v>
      </c>
      <c r="AS225" s="6" t="str">
        <f>HYPERLINK("https://creighton-primo.hosted.exlibrisgroup.com/primo-explore/search?tab=default_tab&amp;search_scope=EVERYTHING&amp;vid=01CRU&amp;lang=en_US&amp;offset=0&amp;query=any,contains,991000251259702656","Catalog Record")</f>
        <v>Catalog Record</v>
      </c>
      <c r="AT225" s="6" t="str">
        <f>HYPERLINK("http://www.worldcat.org/oclc/9758147","WorldCat Record")</f>
        <v>WorldCat Record</v>
      </c>
      <c r="AU225" s="3" t="s">
        <v>2908</v>
      </c>
      <c r="AV225" s="3" t="s">
        <v>2909</v>
      </c>
      <c r="AW225" s="3" t="s">
        <v>2910</v>
      </c>
      <c r="AX225" s="3" t="s">
        <v>2910</v>
      </c>
      <c r="AY225" s="3" t="s">
        <v>2911</v>
      </c>
      <c r="AZ225" s="3" t="s">
        <v>75</v>
      </c>
      <c r="BB225" s="3" t="s">
        <v>2912</v>
      </c>
      <c r="BC225" s="3" t="s">
        <v>2913</v>
      </c>
      <c r="BD225" s="3" t="s">
        <v>2914</v>
      </c>
    </row>
    <row r="226" spans="1:56" ht="39" customHeight="1" x14ac:dyDescent="0.25">
      <c r="A226" s="7" t="s">
        <v>58</v>
      </c>
      <c r="B226" s="2" t="s">
        <v>2915</v>
      </c>
      <c r="C226" s="2" t="s">
        <v>2916</v>
      </c>
      <c r="D226" s="2" t="s">
        <v>2917</v>
      </c>
      <c r="F226" s="3" t="s">
        <v>58</v>
      </c>
      <c r="G226" s="3" t="s">
        <v>59</v>
      </c>
      <c r="H226" s="3" t="s">
        <v>58</v>
      </c>
      <c r="I226" s="3" t="s">
        <v>58</v>
      </c>
      <c r="J226" s="3" t="s">
        <v>60</v>
      </c>
      <c r="K226" s="2" t="s">
        <v>2316</v>
      </c>
      <c r="L226" s="2" t="s">
        <v>2918</v>
      </c>
      <c r="M226" s="3" t="s">
        <v>215</v>
      </c>
      <c r="O226" s="3" t="s">
        <v>65</v>
      </c>
      <c r="P226" s="3" t="s">
        <v>186</v>
      </c>
      <c r="R226" s="3" t="s">
        <v>68</v>
      </c>
      <c r="S226" s="4">
        <v>9</v>
      </c>
      <c r="T226" s="4">
        <v>9</v>
      </c>
      <c r="U226" s="5" t="s">
        <v>2869</v>
      </c>
      <c r="V226" s="5" t="s">
        <v>2869</v>
      </c>
      <c r="W226" s="5" t="s">
        <v>2612</v>
      </c>
      <c r="X226" s="5" t="s">
        <v>2612</v>
      </c>
      <c r="Y226" s="4">
        <v>36</v>
      </c>
      <c r="Z226" s="4">
        <v>33</v>
      </c>
      <c r="AA226" s="4">
        <v>33</v>
      </c>
      <c r="AB226" s="4">
        <v>1</v>
      </c>
      <c r="AC226" s="4">
        <v>1</v>
      </c>
      <c r="AD226" s="4">
        <v>4</v>
      </c>
      <c r="AE226" s="4">
        <v>4</v>
      </c>
      <c r="AF226" s="4">
        <v>0</v>
      </c>
      <c r="AG226" s="4">
        <v>0</v>
      </c>
      <c r="AH226" s="4">
        <v>1</v>
      </c>
      <c r="AI226" s="4">
        <v>1</v>
      </c>
      <c r="AJ226" s="4">
        <v>3</v>
      </c>
      <c r="AK226" s="4">
        <v>3</v>
      </c>
      <c r="AL226" s="4">
        <v>0</v>
      </c>
      <c r="AM226" s="4">
        <v>0</v>
      </c>
      <c r="AN226" s="4">
        <v>0</v>
      </c>
      <c r="AO226" s="4">
        <v>0</v>
      </c>
      <c r="AP226" s="3" t="s">
        <v>58</v>
      </c>
      <c r="AQ226" s="3" t="s">
        <v>58</v>
      </c>
      <c r="AS226" s="6" t="str">
        <f>HYPERLINK("https://creighton-primo.hosted.exlibrisgroup.com/primo-explore/search?tab=default_tab&amp;search_scope=EVERYTHING&amp;vid=01CRU&amp;lang=en_US&amp;offset=0&amp;query=any,contains,991000952859702656","Catalog Record")</f>
        <v>Catalog Record</v>
      </c>
      <c r="AT226" s="6" t="str">
        <f>HYPERLINK("http://www.worldcat.org/oclc/14692684","WorldCat Record")</f>
        <v>WorldCat Record</v>
      </c>
      <c r="AU226" s="3" t="s">
        <v>2919</v>
      </c>
      <c r="AV226" s="3" t="s">
        <v>2920</v>
      </c>
      <c r="AW226" s="3" t="s">
        <v>2921</v>
      </c>
      <c r="AX226" s="3" t="s">
        <v>2921</v>
      </c>
      <c r="AY226" s="3" t="s">
        <v>2922</v>
      </c>
      <c r="AZ226" s="3" t="s">
        <v>75</v>
      </c>
      <c r="BB226" s="3" t="s">
        <v>2923</v>
      </c>
      <c r="BC226" s="3" t="s">
        <v>2924</v>
      </c>
      <c r="BD226" s="3" t="s">
        <v>2925</v>
      </c>
    </row>
    <row r="227" spans="1:56" ht="39" customHeight="1" x14ac:dyDescent="0.25">
      <c r="A227" s="7" t="s">
        <v>58</v>
      </c>
      <c r="B227" s="2" t="s">
        <v>2926</v>
      </c>
      <c r="C227" s="2" t="s">
        <v>2927</v>
      </c>
      <c r="D227" s="2" t="s">
        <v>2928</v>
      </c>
      <c r="F227" s="3" t="s">
        <v>58</v>
      </c>
      <c r="G227" s="3" t="s">
        <v>59</v>
      </c>
      <c r="H227" s="3" t="s">
        <v>58</v>
      </c>
      <c r="I227" s="3" t="s">
        <v>58</v>
      </c>
      <c r="J227" s="3" t="s">
        <v>60</v>
      </c>
      <c r="K227" s="2" t="s">
        <v>2929</v>
      </c>
      <c r="L227" s="2" t="s">
        <v>2930</v>
      </c>
      <c r="M227" s="3" t="s">
        <v>439</v>
      </c>
      <c r="O227" s="3" t="s">
        <v>65</v>
      </c>
      <c r="P227" s="3" t="s">
        <v>186</v>
      </c>
      <c r="R227" s="3" t="s">
        <v>68</v>
      </c>
      <c r="S227" s="4">
        <v>4</v>
      </c>
      <c r="T227" s="4">
        <v>4</v>
      </c>
      <c r="U227" s="5" t="s">
        <v>2882</v>
      </c>
      <c r="V227" s="5" t="s">
        <v>2882</v>
      </c>
      <c r="W227" s="5" t="s">
        <v>2612</v>
      </c>
      <c r="X227" s="5" t="s">
        <v>2612</v>
      </c>
      <c r="Y227" s="4">
        <v>164</v>
      </c>
      <c r="Z227" s="4">
        <v>144</v>
      </c>
      <c r="AA227" s="4">
        <v>149</v>
      </c>
      <c r="AB227" s="4">
        <v>2</v>
      </c>
      <c r="AC227" s="4">
        <v>2</v>
      </c>
      <c r="AD227" s="4">
        <v>14</v>
      </c>
      <c r="AE227" s="4">
        <v>14</v>
      </c>
      <c r="AF227" s="4">
        <v>2</v>
      </c>
      <c r="AG227" s="4">
        <v>2</v>
      </c>
      <c r="AH227" s="4">
        <v>6</v>
      </c>
      <c r="AI227" s="4">
        <v>6</v>
      </c>
      <c r="AJ227" s="4">
        <v>9</v>
      </c>
      <c r="AK227" s="4">
        <v>9</v>
      </c>
      <c r="AL227" s="4">
        <v>0</v>
      </c>
      <c r="AM227" s="4">
        <v>0</v>
      </c>
      <c r="AN227" s="4">
        <v>0</v>
      </c>
      <c r="AO227" s="4">
        <v>0</v>
      </c>
      <c r="AP227" s="3" t="s">
        <v>58</v>
      </c>
      <c r="AQ227" s="3" t="s">
        <v>58</v>
      </c>
      <c r="AS227" s="6" t="str">
        <f>HYPERLINK("https://creighton-primo.hosted.exlibrisgroup.com/primo-explore/search?tab=default_tab&amp;search_scope=EVERYTHING&amp;vid=01CRU&amp;lang=en_US&amp;offset=0&amp;query=any,contains,991004954629702656","Catalog Record")</f>
        <v>Catalog Record</v>
      </c>
      <c r="AT227" s="6" t="str">
        <f>HYPERLINK("http://www.worldcat.org/oclc/6277177","WorldCat Record")</f>
        <v>WorldCat Record</v>
      </c>
      <c r="AU227" s="3" t="s">
        <v>2931</v>
      </c>
      <c r="AV227" s="3" t="s">
        <v>2932</v>
      </c>
      <c r="AW227" s="3" t="s">
        <v>2933</v>
      </c>
      <c r="AX227" s="3" t="s">
        <v>2933</v>
      </c>
      <c r="AY227" s="3" t="s">
        <v>2934</v>
      </c>
      <c r="AZ227" s="3" t="s">
        <v>75</v>
      </c>
      <c r="BB227" s="3" t="s">
        <v>2935</v>
      </c>
      <c r="BC227" s="3" t="s">
        <v>2936</v>
      </c>
      <c r="BD227" s="3" t="s">
        <v>2937</v>
      </c>
    </row>
    <row r="228" spans="1:56" ht="39" customHeight="1" x14ac:dyDescent="0.25">
      <c r="A228" s="7" t="s">
        <v>58</v>
      </c>
      <c r="B228" s="2" t="s">
        <v>2938</v>
      </c>
      <c r="C228" s="2" t="s">
        <v>2939</v>
      </c>
      <c r="D228" s="2" t="s">
        <v>2940</v>
      </c>
      <c r="F228" s="3" t="s">
        <v>58</v>
      </c>
      <c r="G228" s="3" t="s">
        <v>59</v>
      </c>
      <c r="H228" s="3" t="s">
        <v>58</v>
      </c>
      <c r="I228" s="3" t="s">
        <v>58</v>
      </c>
      <c r="J228" s="3" t="s">
        <v>60</v>
      </c>
      <c r="K228" s="2" t="s">
        <v>2117</v>
      </c>
      <c r="L228" s="2" t="s">
        <v>2941</v>
      </c>
      <c r="M228" s="3" t="s">
        <v>318</v>
      </c>
      <c r="O228" s="3" t="s">
        <v>65</v>
      </c>
      <c r="P228" s="3" t="s">
        <v>1345</v>
      </c>
      <c r="Q228" s="2" t="s">
        <v>2942</v>
      </c>
      <c r="R228" s="3" t="s">
        <v>68</v>
      </c>
      <c r="S228" s="4">
        <v>7</v>
      </c>
      <c r="T228" s="4">
        <v>7</v>
      </c>
      <c r="U228" s="5" t="s">
        <v>2943</v>
      </c>
      <c r="V228" s="5" t="s">
        <v>2943</v>
      </c>
      <c r="W228" s="5" t="s">
        <v>2944</v>
      </c>
      <c r="X228" s="5" t="s">
        <v>2944</v>
      </c>
      <c r="Y228" s="4">
        <v>71</v>
      </c>
      <c r="Z228" s="4">
        <v>60</v>
      </c>
      <c r="AA228" s="4">
        <v>60</v>
      </c>
      <c r="AB228" s="4">
        <v>1</v>
      </c>
      <c r="AC228" s="4">
        <v>1</v>
      </c>
      <c r="AD228" s="4">
        <v>15</v>
      </c>
      <c r="AE228" s="4">
        <v>15</v>
      </c>
      <c r="AF228" s="4">
        <v>5</v>
      </c>
      <c r="AG228" s="4">
        <v>5</v>
      </c>
      <c r="AH228" s="4">
        <v>2</v>
      </c>
      <c r="AI228" s="4">
        <v>2</v>
      </c>
      <c r="AJ228" s="4">
        <v>15</v>
      </c>
      <c r="AK228" s="4">
        <v>15</v>
      </c>
      <c r="AL228" s="4">
        <v>0</v>
      </c>
      <c r="AM228" s="4">
        <v>0</v>
      </c>
      <c r="AN228" s="4">
        <v>0</v>
      </c>
      <c r="AO228" s="4">
        <v>0</v>
      </c>
      <c r="AP228" s="3" t="s">
        <v>58</v>
      </c>
      <c r="AQ228" s="3" t="s">
        <v>58</v>
      </c>
      <c r="AS228" s="6" t="str">
        <f>HYPERLINK("https://creighton-primo.hosted.exlibrisgroup.com/primo-explore/search?tab=default_tab&amp;search_scope=EVERYTHING&amp;vid=01CRU&amp;lang=en_US&amp;offset=0&amp;query=any,contains,991004100639702656","Catalog Record")</f>
        <v>Catalog Record</v>
      </c>
      <c r="AT228" s="6" t="str">
        <f>HYPERLINK("http://www.worldcat.org/oclc/40096361","WorldCat Record")</f>
        <v>WorldCat Record</v>
      </c>
      <c r="AU228" s="3" t="s">
        <v>2945</v>
      </c>
      <c r="AV228" s="3" t="s">
        <v>2946</v>
      </c>
      <c r="AW228" s="3" t="s">
        <v>2947</v>
      </c>
      <c r="AX228" s="3" t="s">
        <v>2947</v>
      </c>
      <c r="AY228" s="3" t="s">
        <v>2948</v>
      </c>
      <c r="AZ228" s="3" t="s">
        <v>75</v>
      </c>
      <c r="BB228" s="3" t="s">
        <v>2949</v>
      </c>
      <c r="BC228" s="3" t="s">
        <v>2950</v>
      </c>
      <c r="BD228" s="3" t="s">
        <v>2951</v>
      </c>
    </row>
    <row r="229" spans="1:56" ht="39" customHeight="1" x14ac:dyDescent="0.25">
      <c r="A229" s="7" t="s">
        <v>58</v>
      </c>
      <c r="B229" s="2" t="s">
        <v>2952</v>
      </c>
      <c r="C229" s="2" t="s">
        <v>2953</v>
      </c>
      <c r="D229" s="2" t="s">
        <v>2954</v>
      </c>
      <c r="F229" s="3" t="s">
        <v>58</v>
      </c>
      <c r="G229" s="3" t="s">
        <v>59</v>
      </c>
      <c r="H229" s="3" t="s">
        <v>58</v>
      </c>
      <c r="I229" s="3" t="s">
        <v>58</v>
      </c>
      <c r="J229" s="3" t="s">
        <v>60</v>
      </c>
      <c r="K229" s="2" t="s">
        <v>2955</v>
      </c>
      <c r="L229" s="2" t="s">
        <v>2956</v>
      </c>
      <c r="M229" s="3" t="s">
        <v>427</v>
      </c>
      <c r="O229" s="3" t="s">
        <v>65</v>
      </c>
      <c r="P229" s="3" t="s">
        <v>304</v>
      </c>
      <c r="R229" s="3" t="s">
        <v>68</v>
      </c>
      <c r="S229" s="4">
        <v>4</v>
      </c>
      <c r="T229" s="4">
        <v>4</v>
      </c>
      <c r="U229" s="5" t="s">
        <v>2957</v>
      </c>
      <c r="V229" s="5" t="s">
        <v>2957</v>
      </c>
      <c r="W229" s="5" t="s">
        <v>2612</v>
      </c>
      <c r="X229" s="5" t="s">
        <v>2612</v>
      </c>
      <c r="Y229" s="4">
        <v>138</v>
      </c>
      <c r="Z229" s="4">
        <v>116</v>
      </c>
      <c r="AA229" s="4">
        <v>121</v>
      </c>
      <c r="AB229" s="4">
        <v>2</v>
      </c>
      <c r="AC229" s="4">
        <v>2</v>
      </c>
      <c r="AD229" s="4">
        <v>15</v>
      </c>
      <c r="AE229" s="4">
        <v>15</v>
      </c>
      <c r="AF229" s="4">
        <v>3</v>
      </c>
      <c r="AG229" s="4">
        <v>3</v>
      </c>
      <c r="AH229" s="4">
        <v>3</v>
      </c>
      <c r="AI229" s="4">
        <v>3</v>
      </c>
      <c r="AJ229" s="4">
        <v>13</v>
      </c>
      <c r="AK229" s="4">
        <v>13</v>
      </c>
      <c r="AL229" s="4">
        <v>0</v>
      </c>
      <c r="AM229" s="4">
        <v>0</v>
      </c>
      <c r="AN229" s="4">
        <v>0</v>
      </c>
      <c r="AO229" s="4">
        <v>0</v>
      </c>
      <c r="AP229" s="3" t="s">
        <v>58</v>
      </c>
      <c r="AQ229" s="3" t="s">
        <v>58</v>
      </c>
      <c r="AS229" s="6" t="str">
        <f>HYPERLINK("https://creighton-primo.hosted.exlibrisgroup.com/primo-explore/search?tab=default_tab&amp;search_scope=EVERYTHING&amp;vid=01CRU&amp;lang=en_US&amp;offset=0&amp;query=any,contains,991004718749702656","Catalog Record")</f>
        <v>Catalog Record</v>
      </c>
      <c r="AT229" s="6" t="str">
        <f>HYPERLINK("http://www.worldcat.org/oclc/4788028","WorldCat Record")</f>
        <v>WorldCat Record</v>
      </c>
      <c r="AU229" s="3" t="s">
        <v>2958</v>
      </c>
      <c r="AV229" s="3" t="s">
        <v>2959</v>
      </c>
      <c r="AW229" s="3" t="s">
        <v>2960</v>
      </c>
      <c r="AX229" s="3" t="s">
        <v>2960</v>
      </c>
      <c r="AY229" s="3" t="s">
        <v>2961</v>
      </c>
      <c r="AZ229" s="3" t="s">
        <v>75</v>
      </c>
      <c r="BB229" s="3" t="s">
        <v>2962</v>
      </c>
      <c r="BC229" s="3" t="s">
        <v>2963</v>
      </c>
      <c r="BD229" s="3" t="s">
        <v>2964</v>
      </c>
    </row>
    <row r="230" spans="1:56" ht="39" customHeight="1" x14ac:dyDescent="0.25">
      <c r="A230" s="7" t="s">
        <v>58</v>
      </c>
      <c r="B230" s="2" t="s">
        <v>2965</v>
      </c>
      <c r="C230" s="2" t="s">
        <v>2966</v>
      </c>
      <c r="D230" s="2" t="s">
        <v>2967</v>
      </c>
      <c r="F230" s="3" t="s">
        <v>58</v>
      </c>
      <c r="G230" s="3" t="s">
        <v>59</v>
      </c>
      <c r="H230" s="3" t="s">
        <v>58</v>
      </c>
      <c r="I230" s="3" t="s">
        <v>58</v>
      </c>
      <c r="J230" s="3" t="s">
        <v>60</v>
      </c>
      <c r="K230" s="2" t="s">
        <v>2968</v>
      </c>
      <c r="L230" s="2" t="s">
        <v>1567</v>
      </c>
      <c r="M230" s="3" t="s">
        <v>361</v>
      </c>
      <c r="O230" s="3" t="s">
        <v>65</v>
      </c>
      <c r="P230" s="3" t="s">
        <v>186</v>
      </c>
      <c r="R230" s="3" t="s">
        <v>68</v>
      </c>
      <c r="S230" s="4">
        <v>9</v>
      </c>
      <c r="T230" s="4">
        <v>9</v>
      </c>
      <c r="U230" s="5" t="s">
        <v>2969</v>
      </c>
      <c r="V230" s="5" t="s">
        <v>2969</v>
      </c>
      <c r="W230" s="5" t="s">
        <v>2612</v>
      </c>
      <c r="X230" s="5" t="s">
        <v>2612</v>
      </c>
      <c r="Y230" s="4">
        <v>122</v>
      </c>
      <c r="Z230" s="4">
        <v>105</v>
      </c>
      <c r="AA230" s="4">
        <v>105</v>
      </c>
      <c r="AB230" s="4">
        <v>1</v>
      </c>
      <c r="AC230" s="4">
        <v>1</v>
      </c>
      <c r="AD230" s="4">
        <v>9</v>
      </c>
      <c r="AE230" s="4">
        <v>9</v>
      </c>
      <c r="AF230" s="4">
        <v>2</v>
      </c>
      <c r="AG230" s="4">
        <v>2</v>
      </c>
      <c r="AH230" s="4">
        <v>4</v>
      </c>
      <c r="AI230" s="4">
        <v>4</v>
      </c>
      <c r="AJ230" s="4">
        <v>4</v>
      </c>
      <c r="AK230" s="4">
        <v>4</v>
      </c>
      <c r="AL230" s="4">
        <v>0</v>
      </c>
      <c r="AM230" s="4">
        <v>0</v>
      </c>
      <c r="AN230" s="4">
        <v>0</v>
      </c>
      <c r="AO230" s="4">
        <v>0</v>
      </c>
      <c r="AP230" s="3" t="s">
        <v>58</v>
      </c>
      <c r="AQ230" s="3" t="s">
        <v>58</v>
      </c>
      <c r="AS230" s="6" t="str">
        <f>HYPERLINK("https://creighton-primo.hosted.exlibrisgroup.com/primo-explore/search?tab=default_tab&amp;search_scope=EVERYTHING&amp;vid=01CRU&amp;lang=en_US&amp;offset=0&amp;query=any,contains,991000309909702656","Catalog Record")</f>
        <v>Catalog Record</v>
      </c>
      <c r="AT230" s="6" t="str">
        <f>HYPERLINK("http://www.worldcat.org/oclc/10084102","WorldCat Record")</f>
        <v>WorldCat Record</v>
      </c>
      <c r="AU230" s="3" t="s">
        <v>2970</v>
      </c>
      <c r="AV230" s="3" t="s">
        <v>2971</v>
      </c>
      <c r="AW230" s="3" t="s">
        <v>2972</v>
      </c>
      <c r="AX230" s="3" t="s">
        <v>2972</v>
      </c>
      <c r="AY230" s="3" t="s">
        <v>2973</v>
      </c>
      <c r="AZ230" s="3" t="s">
        <v>75</v>
      </c>
      <c r="BB230" s="3" t="s">
        <v>2974</v>
      </c>
      <c r="BC230" s="3" t="s">
        <v>2975</v>
      </c>
      <c r="BD230" s="3" t="s">
        <v>2976</v>
      </c>
    </row>
    <row r="231" spans="1:56" ht="39" customHeight="1" x14ac:dyDescent="0.25">
      <c r="A231" s="7" t="s">
        <v>58</v>
      </c>
      <c r="B231" s="2" t="s">
        <v>2977</v>
      </c>
      <c r="C231" s="2" t="s">
        <v>2978</v>
      </c>
      <c r="D231" s="2" t="s">
        <v>2979</v>
      </c>
      <c r="F231" s="3" t="s">
        <v>58</v>
      </c>
      <c r="G231" s="3" t="s">
        <v>59</v>
      </c>
      <c r="H231" s="3" t="s">
        <v>58</v>
      </c>
      <c r="I231" s="3" t="s">
        <v>58</v>
      </c>
      <c r="J231" s="3" t="s">
        <v>60</v>
      </c>
      <c r="K231" s="2" t="s">
        <v>2980</v>
      </c>
      <c r="L231" s="2" t="s">
        <v>2981</v>
      </c>
      <c r="M231" s="3" t="s">
        <v>229</v>
      </c>
      <c r="O231" s="3" t="s">
        <v>65</v>
      </c>
      <c r="P231" s="3" t="s">
        <v>304</v>
      </c>
      <c r="R231" s="3" t="s">
        <v>68</v>
      </c>
      <c r="S231" s="4">
        <v>6</v>
      </c>
      <c r="T231" s="4">
        <v>6</v>
      </c>
      <c r="U231" s="5" t="s">
        <v>2982</v>
      </c>
      <c r="V231" s="5" t="s">
        <v>2982</v>
      </c>
      <c r="W231" s="5" t="s">
        <v>2983</v>
      </c>
      <c r="X231" s="5" t="s">
        <v>2983</v>
      </c>
      <c r="Y231" s="4">
        <v>107</v>
      </c>
      <c r="Z231" s="4">
        <v>98</v>
      </c>
      <c r="AA231" s="4">
        <v>104</v>
      </c>
      <c r="AB231" s="4">
        <v>2</v>
      </c>
      <c r="AC231" s="4">
        <v>2</v>
      </c>
      <c r="AD231" s="4">
        <v>6</v>
      </c>
      <c r="AE231" s="4">
        <v>6</v>
      </c>
      <c r="AF231" s="4">
        <v>1</v>
      </c>
      <c r="AG231" s="4">
        <v>1</v>
      </c>
      <c r="AH231" s="4">
        <v>0</v>
      </c>
      <c r="AI231" s="4">
        <v>0</v>
      </c>
      <c r="AJ231" s="4">
        <v>6</v>
      </c>
      <c r="AK231" s="4">
        <v>6</v>
      </c>
      <c r="AL231" s="4">
        <v>0</v>
      </c>
      <c r="AM231" s="4">
        <v>0</v>
      </c>
      <c r="AN231" s="4">
        <v>0</v>
      </c>
      <c r="AO231" s="4">
        <v>0</v>
      </c>
      <c r="AP231" s="3" t="s">
        <v>58</v>
      </c>
      <c r="AQ231" s="3" t="s">
        <v>58</v>
      </c>
      <c r="AS231" s="6" t="str">
        <f>HYPERLINK("https://creighton-primo.hosted.exlibrisgroup.com/primo-explore/search?tab=default_tab&amp;search_scope=EVERYTHING&amp;vid=01CRU&amp;lang=en_US&amp;offset=0&amp;query=any,contains,991001565759702656","Catalog Record")</f>
        <v>Catalog Record</v>
      </c>
      <c r="AT231" s="6" t="str">
        <f>HYPERLINK("http://www.worldcat.org/oclc/20325029","WorldCat Record")</f>
        <v>WorldCat Record</v>
      </c>
      <c r="AU231" s="3" t="s">
        <v>2984</v>
      </c>
      <c r="AV231" s="3" t="s">
        <v>2985</v>
      </c>
      <c r="AW231" s="3" t="s">
        <v>2986</v>
      </c>
      <c r="AX231" s="3" t="s">
        <v>2986</v>
      </c>
      <c r="AY231" s="3" t="s">
        <v>2987</v>
      </c>
      <c r="AZ231" s="3" t="s">
        <v>75</v>
      </c>
      <c r="BB231" s="3" t="s">
        <v>2988</v>
      </c>
      <c r="BC231" s="3" t="s">
        <v>2989</v>
      </c>
      <c r="BD231" s="3" t="s">
        <v>2990</v>
      </c>
    </row>
    <row r="232" spans="1:56" ht="39" customHeight="1" x14ac:dyDescent="0.25">
      <c r="A232" s="7" t="s">
        <v>58</v>
      </c>
      <c r="B232" s="2" t="s">
        <v>2991</v>
      </c>
      <c r="C232" s="2" t="s">
        <v>2992</v>
      </c>
      <c r="D232" s="2" t="s">
        <v>2993</v>
      </c>
      <c r="F232" s="3" t="s">
        <v>58</v>
      </c>
      <c r="G232" s="3" t="s">
        <v>59</v>
      </c>
      <c r="H232" s="3" t="s">
        <v>58</v>
      </c>
      <c r="I232" s="3" t="s">
        <v>132</v>
      </c>
      <c r="J232" s="3" t="s">
        <v>60</v>
      </c>
      <c r="K232" s="2" t="s">
        <v>2994</v>
      </c>
      <c r="L232" s="2" t="s">
        <v>2995</v>
      </c>
      <c r="M232" s="3" t="s">
        <v>439</v>
      </c>
      <c r="N232" s="2" t="s">
        <v>2996</v>
      </c>
      <c r="O232" s="3" t="s">
        <v>65</v>
      </c>
      <c r="P232" s="3" t="s">
        <v>186</v>
      </c>
      <c r="R232" s="3" t="s">
        <v>68</v>
      </c>
      <c r="S232" s="4">
        <v>8</v>
      </c>
      <c r="T232" s="4">
        <v>8</v>
      </c>
      <c r="U232" s="5" t="s">
        <v>2997</v>
      </c>
      <c r="V232" s="5" t="s">
        <v>2997</v>
      </c>
      <c r="W232" s="5" t="s">
        <v>2494</v>
      </c>
      <c r="X232" s="5" t="s">
        <v>2494</v>
      </c>
      <c r="Y232" s="4">
        <v>308</v>
      </c>
      <c r="Z232" s="4">
        <v>281</v>
      </c>
      <c r="AA232" s="4">
        <v>334</v>
      </c>
      <c r="AB232" s="4">
        <v>4</v>
      </c>
      <c r="AC232" s="4">
        <v>4</v>
      </c>
      <c r="AD232" s="4">
        <v>24</v>
      </c>
      <c r="AE232" s="4">
        <v>26</v>
      </c>
      <c r="AF232" s="4">
        <v>7</v>
      </c>
      <c r="AG232" s="4">
        <v>8</v>
      </c>
      <c r="AH232" s="4">
        <v>5</v>
      </c>
      <c r="AI232" s="4">
        <v>5</v>
      </c>
      <c r="AJ232" s="4">
        <v>16</v>
      </c>
      <c r="AK232" s="4">
        <v>17</v>
      </c>
      <c r="AL232" s="4">
        <v>1</v>
      </c>
      <c r="AM232" s="4">
        <v>1</v>
      </c>
      <c r="AN232" s="4">
        <v>0</v>
      </c>
      <c r="AO232" s="4">
        <v>0</v>
      </c>
      <c r="AP232" s="3" t="s">
        <v>58</v>
      </c>
      <c r="AQ232" s="3" t="s">
        <v>58</v>
      </c>
      <c r="AS232" s="6" t="str">
        <f>HYPERLINK("https://creighton-primo.hosted.exlibrisgroup.com/primo-explore/search?tab=default_tab&amp;search_scope=EVERYTHING&amp;vid=01CRU&amp;lang=en_US&amp;offset=0&amp;query=any,contains,991005037359702656","Catalog Record")</f>
        <v>Catalog Record</v>
      </c>
      <c r="AT232" s="6" t="str">
        <f>HYPERLINK("http://www.worldcat.org/oclc/6762578","WorldCat Record")</f>
        <v>WorldCat Record</v>
      </c>
      <c r="AU232" s="3" t="s">
        <v>2998</v>
      </c>
      <c r="AV232" s="3" t="s">
        <v>2999</v>
      </c>
      <c r="AW232" s="3" t="s">
        <v>3000</v>
      </c>
      <c r="AX232" s="3" t="s">
        <v>3000</v>
      </c>
      <c r="AY232" s="3" t="s">
        <v>3001</v>
      </c>
      <c r="AZ232" s="3" t="s">
        <v>75</v>
      </c>
      <c r="BB232" s="3" t="s">
        <v>3002</v>
      </c>
      <c r="BC232" s="3" t="s">
        <v>3003</v>
      </c>
      <c r="BD232" s="3" t="s">
        <v>3004</v>
      </c>
    </row>
    <row r="233" spans="1:56" ht="39" customHeight="1" x14ac:dyDescent="0.25">
      <c r="A233" s="7" t="s">
        <v>58</v>
      </c>
      <c r="B233" s="2" t="s">
        <v>3005</v>
      </c>
      <c r="C233" s="2" t="s">
        <v>3006</v>
      </c>
      <c r="D233" s="2" t="s">
        <v>3007</v>
      </c>
      <c r="F233" s="3" t="s">
        <v>58</v>
      </c>
      <c r="G233" s="3" t="s">
        <v>59</v>
      </c>
      <c r="H233" s="3" t="s">
        <v>58</v>
      </c>
      <c r="I233" s="3" t="s">
        <v>58</v>
      </c>
      <c r="J233" s="3" t="s">
        <v>60</v>
      </c>
      <c r="K233" s="2" t="s">
        <v>3008</v>
      </c>
      <c r="L233" s="2" t="s">
        <v>3009</v>
      </c>
      <c r="M233" s="3" t="s">
        <v>3010</v>
      </c>
      <c r="N233" s="2" t="s">
        <v>64</v>
      </c>
      <c r="O233" s="3" t="s">
        <v>65</v>
      </c>
      <c r="P233" s="3" t="s">
        <v>186</v>
      </c>
      <c r="Q233" s="2" t="s">
        <v>3011</v>
      </c>
      <c r="R233" s="3" t="s">
        <v>68</v>
      </c>
      <c r="S233" s="4">
        <v>5</v>
      </c>
      <c r="T233" s="4">
        <v>5</v>
      </c>
      <c r="U233" s="5" t="s">
        <v>3012</v>
      </c>
      <c r="V233" s="5" t="s">
        <v>3012</v>
      </c>
      <c r="W233" s="5" t="s">
        <v>2612</v>
      </c>
      <c r="X233" s="5" t="s">
        <v>2612</v>
      </c>
      <c r="Y233" s="4">
        <v>26</v>
      </c>
      <c r="Z233" s="4">
        <v>24</v>
      </c>
      <c r="AA233" s="4">
        <v>97</v>
      </c>
      <c r="AB233" s="4">
        <v>1</v>
      </c>
      <c r="AC233" s="4">
        <v>2</v>
      </c>
      <c r="AD233" s="4">
        <v>7</v>
      </c>
      <c r="AE233" s="4">
        <v>18</v>
      </c>
      <c r="AF233" s="4">
        <v>1</v>
      </c>
      <c r="AG233" s="4">
        <v>5</v>
      </c>
      <c r="AH233" s="4">
        <v>1</v>
      </c>
      <c r="AI233" s="4">
        <v>5</v>
      </c>
      <c r="AJ233" s="4">
        <v>6</v>
      </c>
      <c r="AK233" s="4">
        <v>12</v>
      </c>
      <c r="AL233" s="4">
        <v>0</v>
      </c>
      <c r="AM233" s="4">
        <v>0</v>
      </c>
      <c r="AN233" s="4">
        <v>0</v>
      </c>
      <c r="AO233" s="4">
        <v>0</v>
      </c>
      <c r="AP233" s="3" t="s">
        <v>58</v>
      </c>
      <c r="AQ233" s="3" t="s">
        <v>58</v>
      </c>
      <c r="AS233" s="6" t="str">
        <f>HYPERLINK("https://creighton-primo.hosted.exlibrisgroup.com/primo-explore/search?tab=default_tab&amp;search_scope=EVERYTHING&amp;vid=01CRU&amp;lang=en_US&amp;offset=0&amp;query=any,contains,991005112089702656","Catalog Record")</f>
        <v>Catalog Record</v>
      </c>
      <c r="AT233" s="6" t="str">
        <f>HYPERLINK("http://www.worldcat.org/oclc/7452669","WorldCat Record")</f>
        <v>WorldCat Record</v>
      </c>
      <c r="AU233" s="3" t="s">
        <v>3013</v>
      </c>
      <c r="AV233" s="3" t="s">
        <v>3014</v>
      </c>
      <c r="AW233" s="3" t="s">
        <v>3015</v>
      </c>
      <c r="AX233" s="3" t="s">
        <v>3015</v>
      </c>
      <c r="AY233" s="3" t="s">
        <v>3016</v>
      </c>
      <c r="AZ233" s="3" t="s">
        <v>75</v>
      </c>
      <c r="BC233" s="3" t="s">
        <v>3017</v>
      </c>
      <c r="BD233" s="3" t="s">
        <v>3018</v>
      </c>
    </row>
    <row r="234" spans="1:56" ht="39" customHeight="1" x14ac:dyDescent="0.25">
      <c r="A234" s="7" t="s">
        <v>58</v>
      </c>
      <c r="B234" s="2" t="s">
        <v>3019</v>
      </c>
      <c r="C234" s="2" t="s">
        <v>3020</v>
      </c>
      <c r="D234" s="2" t="s">
        <v>3021</v>
      </c>
      <c r="F234" s="3" t="s">
        <v>58</v>
      </c>
      <c r="G234" s="3" t="s">
        <v>59</v>
      </c>
      <c r="H234" s="3" t="s">
        <v>58</v>
      </c>
      <c r="I234" s="3" t="s">
        <v>58</v>
      </c>
      <c r="J234" s="3" t="s">
        <v>60</v>
      </c>
      <c r="K234" s="2" t="s">
        <v>3022</v>
      </c>
      <c r="L234" s="2" t="s">
        <v>3023</v>
      </c>
      <c r="M234" s="3" t="s">
        <v>781</v>
      </c>
      <c r="O234" s="3" t="s">
        <v>65</v>
      </c>
      <c r="P234" s="3" t="s">
        <v>186</v>
      </c>
      <c r="R234" s="3" t="s">
        <v>68</v>
      </c>
      <c r="S234" s="4">
        <v>6</v>
      </c>
      <c r="T234" s="4">
        <v>6</v>
      </c>
      <c r="U234" s="5" t="s">
        <v>3024</v>
      </c>
      <c r="V234" s="5" t="s">
        <v>3024</v>
      </c>
      <c r="W234" s="5" t="s">
        <v>2612</v>
      </c>
      <c r="X234" s="5" t="s">
        <v>2612</v>
      </c>
      <c r="Y234" s="4">
        <v>22</v>
      </c>
      <c r="Z234" s="4">
        <v>22</v>
      </c>
      <c r="AA234" s="4">
        <v>54</v>
      </c>
      <c r="AB234" s="4">
        <v>1</v>
      </c>
      <c r="AC234" s="4">
        <v>1</v>
      </c>
      <c r="AD234" s="4">
        <v>2</v>
      </c>
      <c r="AE234" s="4">
        <v>4</v>
      </c>
      <c r="AF234" s="4">
        <v>0</v>
      </c>
      <c r="AG234" s="4">
        <v>1</v>
      </c>
      <c r="AH234" s="4">
        <v>1</v>
      </c>
      <c r="AI234" s="4">
        <v>1</v>
      </c>
      <c r="AJ234" s="4">
        <v>1</v>
      </c>
      <c r="AK234" s="4">
        <v>3</v>
      </c>
      <c r="AL234" s="4">
        <v>0</v>
      </c>
      <c r="AM234" s="4">
        <v>0</v>
      </c>
      <c r="AN234" s="4">
        <v>0</v>
      </c>
      <c r="AO234" s="4">
        <v>0</v>
      </c>
      <c r="AP234" s="3" t="s">
        <v>58</v>
      </c>
      <c r="AQ234" s="3" t="s">
        <v>58</v>
      </c>
      <c r="AS234" s="6" t="str">
        <f>HYPERLINK("https://creighton-primo.hosted.exlibrisgroup.com/primo-explore/search?tab=default_tab&amp;search_scope=EVERYTHING&amp;vid=01CRU&amp;lang=en_US&amp;offset=0&amp;query=any,contains,991000838249702656","Catalog Record")</f>
        <v>Catalog Record</v>
      </c>
      <c r="AT234" s="6" t="str">
        <f>HYPERLINK("http://www.worldcat.org/oclc/13512084","WorldCat Record")</f>
        <v>WorldCat Record</v>
      </c>
      <c r="AU234" s="3" t="s">
        <v>3025</v>
      </c>
      <c r="AV234" s="3" t="s">
        <v>3026</v>
      </c>
      <c r="AW234" s="3" t="s">
        <v>3027</v>
      </c>
      <c r="AX234" s="3" t="s">
        <v>3027</v>
      </c>
      <c r="AY234" s="3" t="s">
        <v>3028</v>
      </c>
      <c r="AZ234" s="3" t="s">
        <v>75</v>
      </c>
      <c r="BC234" s="3" t="s">
        <v>3029</v>
      </c>
      <c r="BD234" s="3" t="s">
        <v>3030</v>
      </c>
    </row>
    <row r="235" spans="1:56" ht="39" customHeight="1" x14ac:dyDescent="0.25">
      <c r="A235" s="7" t="s">
        <v>58</v>
      </c>
      <c r="B235" s="2" t="s">
        <v>3031</v>
      </c>
      <c r="C235" s="2" t="s">
        <v>3032</v>
      </c>
      <c r="D235" s="2" t="s">
        <v>3033</v>
      </c>
      <c r="F235" s="3" t="s">
        <v>58</v>
      </c>
      <c r="G235" s="3" t="s">
        <v>59</v>
      </c>
      <c r="H235" s="3" t="s">
        <v>58</v>
      </c>
      <c r="I235" s="3" t="s">
        <v>58</v>
      </c>
      <c r="J235" s="3" t="s">
        <v>60</v>
      </c>
      <c r="K235" s="2" t="s">
        <v>2596</v>
      </c>
      <c r="L235" s="2" t="s">
        <v>2571</v>
      </c>
      <c r="M235" s="3" t="s">
        <v>229</v>
      </c>
      <c r="O235" s="3" t="s">
        <v>65</v>
      </c>
      <c r="P235" s="3" t="s">
        <v>186</v>
      </c>
      <c r="R235" s="3" t="s">
        <v>68</v>
      </c>
      <c r="S235" s="4">
        <v>4</v>
      </c>
      <c r="T235" s="4">
        <v>4</v>
      </c>
      <c r="U235" s="5" t="s">
        <v>3034</v>
      </c>
      <c r="V235" s="5" t="s">
        <v>3034</v>
      </c>
      <c r="W235" s="5" t="s">
        <v>3035</v>
      </c>
      <c r="X235" s="5" t="s">
        <v>3035</v>
      </c>
      <c r="Y235" s="4">
        <v>51</v>
      </c>
      <c r="Z235" s="4">
        <v>46</v>
      </c>
      <c r="AA235" s="4">
        <v>46</v>
      </c>
      <c r="AB235" s="4">
        <v>2</v>
      </c>
      <c r="AC235" s="4">
        <v>2</v>
      </c>
      <c r="AD235" s="4">
        <v>6</v>
      </c>
      <c r="AE235" s="4">
        <v>6</v>
      </c>
      <c r="AF235" s="4">
        <v>0</v>
      </c>
      <c r="AG235" s="4">
        <v>0</v>
      </c>
      <c r="AH235" s="4">
        <v>1</v>
      </c>
      <c r="AI235" s="4">
        <v>1</v>
      </c>
      <c r="AJ235" s="4">
        <v>5</v>
      </c>
      <c r="AK235" s="4">
        <v>5</v>
      </c>
      <c r="AL235" s="4">
        <v>0</v>
      </c>
      <c r="AM235" s="4">
        <v>0</v>
      </c>
      <c r="AN235" s="4">
        <v>0</v>
      </c>
      <c r="AO235" s="4">
        <v>0</v>
      </c>
      <c r="AP235" s="3" t="s">
        <v>58</v>
      </c>
      <c r="AQ235" s="3" t="s">
        <v>58</v>
      </c>
      <c r="AS235" s="6" t="str">
        <f>HYPERLINK("https://creighton-primo.hosted.exlibrisgroup.com/primo-explore/search?tab=default_tab&amp;search_scope=EVERYTHING&amp;vid=01CRU&amp;lang=en_US&amp;offset=0&amp;query=any,contains,991001560809702656","Catalog Record")</f>
        <v>Catalog Record</v>
      </c>
      <c r="AT235" s="6" t="str">
        <f>HYPERLINK("http://www.worldcat.org/oclc/20296794","WorldCat Record")</f>
        <v>WorldCat Record</v>
      </c>
      <c r="AU235" s="3" t="s">
        <v>3036</v>
      </c>
      <c r="AV235" s="3" t="s">
        <v>3037</v>
      </c>
      <c r="AW235" s="3" t="s">
        <v>3038</v>
      </c>
      <c r="AX235" s="3" t="s">
        <v>3038</v>
      </c>
      <c r="AY235" s="3" t="s">
        <v>3039</v>
      </c>
      <c r="AZ235" s="3" t="s">
        <v>75</v>
      </c>
      <c r="BB235" s="3" t="s">
        <v>3040</v>
      </c>
      <c r="BC235" s="3" t="s">
        <v>3041</v>
      </c>
      <c r="BD235" s="3" t="s">
        <v>3042</v>
      </c>
    </row>
    <row r="236" spans="1:56" ht="39" customHeight="1" x14ac:dyDescent="0.25">
      <c r="A236" s="7" t="s">
        <v>58</v>
      </c>
      <c r="B236" s="2" t="s">
        <v>3043</v>
      </c>
      <c r="C236" s="2" t="s">
        <v>3044</v>
      </c>
      <c r="D236" s="2" t="s">
        <v>3045</v>
      </c>
      <c r="F236" s="3" t="s">
        <v>58</v>
      </c>
      <c r="G236" s="3" t="s">
        <v>59</v>
      </c>
      <c r="H236" s="3" t="s">
        <v>58</v>
      </c>
      <c r="I236" s="3" t="s">
        <v>58</v>
      </c>
      <c r="J236" s="3" t="s">
        <v>60</v>
      </c>
      <c r="K236" s="2" t="s">
        <v>2596</v>
      </c>
      <c r="L236" s="2" t="s">
        <v>2357</v>
      </c>
      <c r="M236" s="3" t="s">
        <v>157</v>
      </c>
      <c r="O236" s="3" t="s">
        <v>65</v>
      </c>
      <c r="P236" s="3" t="s">
        <v>2303</v>
      </c>
      <c r="Q236" s="2" t="s">
        <v>3046</v>
      </c>
      <c r="R236" s="3" t="s">
        <v>68</v>
      </c>
      <c r="S236" s="4">
        <v>6</v>
      </c>
      <c r="T236" s="4">
        <v>6</v>
      </c>
      <c r="U236" s="5" t="s">
        <v>3047</v>
      </c>
      <c r="V236" s="5" t="s">
        <v>3047</v>
      </c>
      <c r="W236" s="5" t="s">
        <v>2612</v>
      </c>
      <c r="X236" s="5" t="s">
        <v>2612</v>
      </c>
      <c r="Y236" s="4">
        <v>118</v>
      </c>
      <c r="Z236" s="4">
        <v>105</v>
      </c>
      <c r="AA236" s="4">
        <v>110</v>
      </c>
      <c r="AB236" s="4">
        <v>2</v>
      </c>
      <c r="AC236" s="4">
        <v>2</v>
      </c>
      <c r="AD236" s="4">
        <v>15</v>
      </c>
      <c r="AE236" s="4">
        <v>15</v>
      </c>
      <c r="AF236" s="4">
        <v>3</v>
      </c>
      <c r="AG236" s="4">
        <v>3</v>
      </c>
      <c r="AH236" s="4">
        <v>6</v>
      </c>
      <c r="AI236" s="4">
        <v>6</v>
      </c>
      <c r="AJ236" s="4">
        <v>11</v>
      </c>
      <c r="AK236" s="4">
        <v>11</v>
      </c>
      <c r="AL236" s="4">
        <v>0</v>
      </c>
      <c r="AM236" s="4">
        <v>0</v>
      </c>
      <c r="AN236" s="4">
        <v>0</v>
      </c>
      <c r="AO236" s="4">
        <v>0</v>
      </c>
      <c r="AP236" s="3" t="s">
        <v>58</v>
      </c>
      <c r="AQ236" s="3" t="s">
        <v>58</v>
      </c>
      <c r="AS236" s="6" t="str">
        <f>HYPERLINK("https://creighton-primo.hosted.exlibrisgroup.com/primo-explore/search?tab=default_tab&amp;search_scope=EVERYTHING&amp;vid=01CRU&amp;lang=en_US&amp;offset=0&amp;query=any,contains,991000169089702656","Catalog Record")</f>
        <v>Catalog Record</v>
      </c>
      <c r="AT236" s="6" t="str">
        <f>HYPERLINK("http://www.worldcat.org/oclc/9319343","WorldCat Record")</f>
        <v>WorldCat Record</v>
      </c>
      <c r="AU236" s="3" t="s">
        <v>3048</v>
      </c>
      <c r="AV236" s="3" t="s">
        <v>3049</v>
      </c>
      <c r="AW236" s="3" t="s">
        <v>3050</v>
      </c>
      <c r="AX236" s="3" t="s">
        <v>3050</v>
      </c>
      <c r="AY236" s="3" t="s">
        <v>3051</v>
      </c>
      <c r="AZ236" s="3" t="s">
        <v>75</v>
      </c>
      <c r="BB236" s="3" t="s">
        <v>3052</v>
      </c>
      <c r="BC236" s="3" t="s">
        <v>3053</v>
      </c>
      <c r="BD236" s="3" t="s">
        <v>3054</v>
      </c>
    </row>
    <row r="237" spans="1:56" ht="39" customHeight="1" x14ac:dyDescent="0.25">
      <c r="A237" s="7" t="s">
        <v>58</v>
      </c>
      <c r="B237" s="2" t="s">
        <v>3055</v>
      </c>
      <c r="C237" s="2" t="s">
        <v>3056</v>
      </c>
      <c r="D237" s="2" t="s">
        <v>3057</v>
      </c>
      <c r="F237" s="3" t="s">
        <v>58</v>
      </c>
      <c r="G237" s="3" t="s">
        <v>59</v>
      </c>
      <c r="H237" s="3" t="s">
        <v>58</v>
      </c>
      <c r="I237" s="3" t="s">
        <v>58</v>
      </c>
      <c r="J237" s="3" t="s">
        <v>60</v>
      </c>
      <c r="K237" s="2" t="s">
        <v>3058</v>
      </c>
      <c r="L237" s="2" t="s">
        <v>3059</v>
      </c>
      <c r="M237" s="3" t="s">
        <v>273</v>
      </c>
      <c r="O237" s="3" t="s">
        <v>65</v>
      </c>
      <c r="P237" s="3" t="s">
        <v>304</v>
      </c>
      <c r="R237" s="3" t="s">
        <v>68</v>
      </c>
      <c r="S237" s="4">
        <v>8</v>
      </c>
      <c r="T237" s="4">
        <v>8</v>
      </c>
      <c r="U237" s="5" t="s">
        <v>3060</v>
      </c>
      <c r="V237" s="5" t="s">
        <v>3060</v>
      </c>
      <c r="W237" s="5" t="s">
        <v>115</v>
      </c>
      <c r="X237" s="5" t="s">
        <v>115</v>
      </c>
      <c r="Y237" s="4">
        <v>92</v>
      </c>
      <c r="Z237" s="4">
        <v>79</v>
      </c>
      <c r="AA237" s="4">
        <v>80</v>
      </c>
      <c r="AB237" s="4">
        <v>2</v>
      </c>
      <c r="AC237" s="4">
        <v>2</v>
      </c>
      <c r="AD237" s="4">
        <v>11</v>
      </c>
      <c r="AE237" s="4">
        <v>11</v>
      </c>
      <c r="AF237" s="4">
        <v>5</v>
      </c>
      <c r="AG237" s="4">
        <v>5</v>
      </c>
      <c r="AH237" s="4">
        <v>1</v>
      </c>
      <c r="AI237" s="4">
        <v>1</v>
      </c>
      <c r="AJ237" s="4">
        <v>9</v>
      </c>
      <c r="AK237" s="4">
        <v>9</v>
      </c>
      <c r="AL237" s="4">
        <v>0</v>
      </c>
      <c r="AM237" s="4">
        <v>0</v>
      </c>
      <c r="AN237" s="4">
        <v>0</v>
      </c>
      <c r="AO237" s="4">
        <v>0</v>
      </c>
      <c r="AP237" s="3" t="s">
        <v>58</v>
      </c>
      <c r="AQ237" s="3" t="s">
        <v>58</v>
      </c>
      <c r="AS237" s="6" t="str">
        <f>HYPERLINK("https://creighton-primo.hosted.exlibrisgroup.com/primo-explore/search?tab=default_tab&amp;search_scope=EVERYTHING&amp;vid=01CRU&amp;lang=en_US&amp;offset=0&amp;query=any,contains,991002307559702656","Catalog Record")</f>
        <v>Catalog Record</v>
      </c>
      <c r="AT237" s="6" t="str">
        <f>HYPERLINK("http://www.worldcat.org/oclc/29927897","WorldCat Record")</f>
        <v>WorldCat Record</v>
      </c>
      <c r="AU237" s="3" t="s">
        <v>3061</v>
      </c>
      <c r="AV237" s="3" t="s">
        <v>3062</v>
      </c>
      <c r="AW237" s="3" t="s">
        <v>3063</v>
      </c>
      <c r="AX237" s="3" t="s">
        <v>3063</v>
      </c>
      <c r="AY237" s="3" t="s">
        <v>3064</v>
      </c>
      <c r="AZ237" s="3" t="s">
        <v>75</v>
      </c>
      <c r="BB237" s="3" t="s">
        <v>3065</v>
      </c>
      <c r="BC237" s="3" t="s">
        <v>3066</v>
      </c>
      <c r="BD237" s="3" t="s">
        <v>3067</v>
      </c>
    </row>
    <row r="238" spans="1:56" ht="39" customHeight="1" x14ac:dyDescent="0.25">
      <c r="A238" s="7" t="s">
        <v>58</v>
      </c>
      <c r="B238" s="2" t="s">
        <v>3068</v>
      </c>
      <c r="C238" s="2" t="s">
        <v>3069</v>
      </c>
      <c r="D238" s="2" t="s">
        <v>3070</v>
      </c>
      <c r="F238" s="3" t="s">
        <v>58</v>
      </c>
      <c r="G238" s="3" t="s">
        <v>59</v>
      </c>
      <c r="H238" s="3" t="s">
        <v>58</v>
      </c>
      <c r="I238" s="3" t="s">
        <v>58</v>
      </c>
      <c r="J238" s="3" t="s">
        <v>60</v>
      </c>
      <c r="L238" s="2" t="s">
        <v>3071</v>
      </c>
      <c r="M238" s="3" t="s">
        <v>303</v>
      </c>
      <c r="N238" s="2" t="s">
        <v>476</v>
      </c>
      <c r="O238" s="3" t="s">
        <v>65</v>
      </c>
      <c r="P238" s="3" t="s">
        <v>967</v>
      </c>
      <c r="R238" s="3" t="s">
        <v>68</v>
      </c>
      <c r="S238" s="4">
        <v>7</v>
      </c>
      <c r="T238" s="4">
        <v>7</v>
      </c>
      <c r="U238" s="5" t="s">
        <v>3072</v>
      </c>
      <c r="V238" s="5" t="s">
        <v>3072</v>
      </c>
      <c r="W238" s="5" t="s">
        <v>2612</v>
      </c>
      <c r="X238" s="5" t="s">
        <v>2612</v>
      </c>
      <c r="Y238" s="4">
        <v>129</v>
      </c>
      <c r="Z238" s="4">
        <v>94</v>
      </c>
      <c r="AA238" s="4">
        <v>99</v>
      </c>
      <c r="AB238" s="4">
        <v>2</v>
      </c>
      <c r="AC238" s="4">
        <v>2</v>
      </c>
      <c r="AD238" s="4">
        <v>12</v>
      </c>
      <c r="AE238" s="4">
        <v>12</v>
      </c>
      <c r="AF238" s="4">
        <v>5</v>
      </c>
      <c r="AG238" s="4">
        <v>5</v>
      </c>
      <c r="AH238" s="4">
        <v>2</v>
      </c>
      <c r="AI238" s="4">
        <v>2</v>
      </c>
      <c r="AJ238" s="4">
        <v>9</v>
      </c>
      <c r="AK238" s="4">
        <v>9</v>
      </c>
      <c r="AL238" s="4">
        <v>0</v>
      </c>
      <c r="AM238" s="4">
        <v>0</v>
      </c>
      <c r="AN238" s="4">
        <v>0</v>
      </c>
      <c r="AO238" s="4">
        <v>0</v>
      </c>
      <c r="AP238" s="3" t="s">
        <v>58</v>
      </c>
      <c r="AQ238" s="3" t="s">
        <v>58</v>
      </c>
      <c r="AS238" s="6" t="str">
        <f>HYPERLINK("https://creighton-primo.hosted.exlibrisgroup.com/primo-explore/search?tab=default_tab&amp;search_scope=EVERYTHING&amp;vid=01CRU&amp;lang=en_US&amp;offset=0&amp;query=any,contains,991004499739702656","Catalog Record")</f>
        <v>Catalog Record</v>
      </c>
      <c r="AT238" s="6" t="str">
        <f>HYPERLINK("http://www.worldcat.org/oclc/2580540","WorldCat Record")</f>
        <v>WorldCat Record</v>
      </c>
      <c r="AU238" s="3" t="s">
        <v>3073</v>
      </c>
      <c r="AV238" s="3" t="s">
        <v>3074</v>
      </c>
      <c r="AW238" s="3" t="s">
        <v>3075</v>
      </c>
      <c r="AX238" s="3" t="s">
        <v>3075</v>
      </c>
      <c r="AY238" s="3" t="s">
        <v>3076</v>
      </c>
      <c r="AZ238" s="3" t="s">
        <v>75</v>
      </c>
      <c r="BB238" s="3" t="s">
        <v>3077</v>
      </c>
      <c r="BC238" s="3" t="s">
        <v>3078</v>
      </c>
      <c r="BD238" s="3" t="s">
        <v>3079</v>
      </c>
    </row>
    <row r="239" spans="1:56" ht="39" customHeight="1" x14ac:dyDescent="0.25">
      <c r="A239" s="7" t="s">
        <v>58</v>
      </c>
      <c r="B239" s="2" t="s">
        <v>3080</v>
      </c>
      <c r="C239" s="2" t="s">
        <v>3081</v>
      </c>
      <c r="D239" s="2" t="s">
        <v>3082</v>
      </c>
      <c r="F239" s="3" t="s">
        <v>58</v>
      </c>
      <c r="G239" s="3" t="s">
        <v>59</v>
      </c>
      <c r="H239" s="3" t="s">
        <v>58</v>
      </c>
      <c r="I239" s="3" t="s">
        <v>58</v>
      </c>
      <c r="J239" s="3" t="s">
        <v>60</v>
      </c>
      <c r="K239" s="2" t="s">
        <v>3083</v>
      </c>
      <c r="L239" s="2" t="s">
        <v>3084</v>
      </c>
      <c r="M239" s="3" t="s">
        <v>1046</v>
      </c>
      <c r="O239" s="3" t="s">
        <v>65</v>
      </c>
      <c r="P239" s="3" t="s">
        <v>113</v>
      </c>
      <c r="Q239" s="2" t="s">
        <v>3085</v>
      </c>
      <c r="R239" s="3" t="s">
        <v>68</v>
      </c>
      <c r="S239" s="4">
        <v>1</v>
      </c>
      <c r="T239" s="4">
        <v>1</v>
      </c>
      <c r="U239" s="5" t="s">
        <v>3086</v>
      </c>
      <c r="V239" s="5" t="s">
        <v>3086</v>
      </c>
      <c r="W239" s="5" t="s">
        <v>3087</v>
      </c>
      <c r="X239" s="5" t="s">
        <v>3087</v>
      </c>
      <c r="Y239" s="4">
        <v>103</v>
      </c>
      <c r="Z239" s="4">
        <v>93</v>
      </c>
      <c r="AA239" s="4">
        <v>103</v>
      </c>
      <c r="AB239" s="4">
        <v>2</v>
      </c>
      <c r="AC239" s="4">
        <v>2</v>
      </c>
      <c r="AD239" s="4">
        <v>17</v>
      </c>
      <c r="AE239" s="4">
        <v>17</v>
      </c>
      <c r="AF239" s="4">
        <v>5</v>
      </c>
      <c r="AG239" s="4">
        <v>5</v>
      </c>
      <c r="AH239" s="4">
        <v>5</v>
      </c>
      <c r="AI239" s="4">
        <v>5</v>
      </c>
      <c r="AJ239" s="4">
        <v>14</v>
      </c>
      <c r="AK239" s="4">
        <v>14</v>
      </c>
      <c r="AL239" s="4">
        <v>0</v>
      </c>
      <c r="AM239" s="4">
        <v>0</v>
      </c>
      <c r="AN239" s="4">
        <v>0</v>
      </c>
      <c r="AO239" s="4">
        <v>0</v>
      </c>
      <c r="AP239" s="3" t="s">
        <v>58</v>
      </c>
      <c r="AQ239" s="3" t="s">
        <v>58</v>
      </c>
      <c r="AS239" s="6" t="str">
        <f>HYPERLINK("https://creighton-primo.hosted.exlibrisgroup.com/primo-explore/search?tab=default_tab&amp;search_scope=EVERYTHING&amp;vid=01CRU&amp;lang=en_US&amp;offset=0&amp;query=any,contains,991001030829702656","Catalog Record")</f>
        <v>Catalog Record</v>
      </c>
      <c r="AT239" s="6" t="str">
        <f>HYPERLINK("http://www.worldcat.org/oclc/17209339","WorldCat Record")</f>
        <v>WorldCat Record</v>
      </c>
      <c r="AU239" s="3" t="s">
        <v>3088</v>
      </c>
      <c r="AV239" s="3" t="s">
        <v>3089</v>
      </c>
      <c r="AW239" s="3" t="s">
        <v>3090</v>
      </c>
      <c r="AX239" s="3" t="s">
        <v>3090</v>
      </c>
      <c r="AY239" s="3" t="s">
        <v>3091</v>
      </c>
      <c r="AZ239" s="3" t="s">
        <v>75</v>
      </c>
      <c r="BB239" s="3" t="s">
        <v>3092</v>
      </c>
      <c r="BC239" s="3" t="s">
        <v>3093</v>
      </c>
      <c r="BD239" s="3" t="s">
        <v>3094</v>
      </c>
    </row>
    <row r="240" spans="1:56" ht="39" customHeight="1" x14ac:dyDescent="0.25">
      <c r="A240" s="7" t="s">
        <v>58</v>
      </c>
      <c r="B240" s="2" t="s">
        <v>3095</v>
      </c>
      <c r="C240" s="2" t="s">
        <v>3096</v>
      </c>
      <c r="D240" s="2" t="s">
        <v>3097</v>
      </c>
      <c r="F240" s="3" t="s">
        <v>58</v>
      </c>
      <c r="G240" s="3" t="s">
        <v>59</v>
      </c>
      <c r="H240" s="3" t="s">
        <v>58</v>
      </c>
      <c r="I240" s="3" t="s">
        <v>58</v>
      </c>
      <c r="J240" s="3" t="s">
        <v>60</v>
      </c>
      <c r="K240" s="2" t="s">
        <v>3098</v>
      </c>
      <c r="L240" s="2" t="s">
        <v>3099</v>
      </c>
      <c r="M240" s="3" t="s">
        <v>2855</v>
      </c>
      <c r="O240" s="3" t="s">
        <v>65</v>
      </c>
      <c r="P240" s="3" t="s">
        <v>492</v>
      </c>
      <c r="R240" s="3" t="s">
        <v>68</v>
      </c>
      <c r="S240" s="4">
        <v>0</v>
      </c>
      <c r="T240" s="4">
        <v>0</v>
      </c>
      <c r="U240" s="5" t="s">
        <v>1208</v>
      </c>
      <c r="V240" s="5" t="s">
        <v>1208</v>
      </c>
      <c r="W240" s="5" t="s">
        <v>2069</v>
      </c>
      <c r="X240" s="5" t="s">
        <v>2069</v>
      </c>
      <c r="Y240" s="4">
        <v>65</v>
      </c>
      <c r="Z240" s="4">
        <v>62</v>
      </c>
      <c r="AA240" s="4">
        <v>65</v>
      </c>
      <c r="AB240" s="4">
        <v>1</v>
      </c>
      <c r="AC240" s="4">
        <v>1</v>
      </c>
      <c r="AD240" s="4">
        <v>10</v>
      </c>
      <c r="AE240" s="4">
        <v>10</v>
      </c>
      <c r="AF240" s="4">
        <v>1</v>
      </c>
      <c r="AG240" s="4">
        <v>1</v>
      </c>
      <c r="AH240" s="4">
        <v>2</v>
      </c>
      <c r="AI240" s="4">
        <v>2</v>
      </c>
      <c r="AJ240" s="4">
        <v>8</v>
      </c>
      <c r="AK240" s="4">
        <v>8</v>
      </c>
      <c r="AL240" s="4">
        <v>0</v>
      </c>
      <c r="AM240" s="4">
        <v>0</v>
      </c>
      <c r="AN240" s="4">
        <v>0</v>
      </c>
      <c r="AO240" s="4">
        <v>0</v>
      </c>
      <c r="AP240" s="3" t="s">
        <v>58</v>
      </c>
      <c r="AQ240" s="3" t="s">
        <v>132</v>
      </c>
      <c r="AR240" s="6" t="str">
        <f>HYPERLINK("http://catalog.hathitrust.org/Record/001936151","HathiTrust Record")</f>
        <v>HathiTrust Record</v>
      </c>
      <c r="AS240" s="6" t="str">
        <f>HYPERLINK("https://creighton-primo.hosted.exlibrisgroup.com/primo-explore/search?tab=default_tab&amp;search_scope=EVERYTHING&amp;vid=01CRU&amp;lang=en_US&amp;offset=0&amp;query=any,contains,991005110189702656","Catalog Record")</f>
        <v>Catalog Record</v>
      </c>
      <c r="AT240" s="6" t="str">
        <f>HYPERLINK("http://www.worldcat.org/oclc/7412042","WorldCat Record")</f>
        <v>WorldCat Record</v>
      </c>
      <c r="AU240" s="3" t="s">
        <v>3100</v>
      </c>
      <c r="AV240" s="3" t="s">
        <v>3101</v>
      </c>
      <c r="AW240" s="3" t="s">
        <v>3102</v>
      </c>
      <c r="AX240" s="3" t="s">
        <v>3102</v>
      </c>
      <c r="AY240" s="3" t="s">
        <v>3103</v>
      </c>
      <c r="AZ240" s="3" t="s">
        <v>75</v>
      </c>
      <c r="BC240" s="3" t="s">
        <v>3104</v>
      </c>
      <c r="BD240" s="3" t="s">
        <v>3105</v>
      </c>
    </row>
    <row r="241" spans="1:56" ht="39" customHeight="1" x14ac:dyDescent="0.25">
      <c r="A241" s="7" t="s">
        <v>58</v>
      </c>
      <c r="B241" s="2" t="s">
        <v>3106</v>
      </c>
      <c r="C241" s="2" t="s">
        <v>3107</v>
      </c>
      <c r="D241" s="2" t="s">
        <v>3108</v>
      </c>
      <c r="F241" s="3" t="s">
        <v>58</v>
      </c>
      <c r="G241" s="3" t="s">
        <v>59</v>
      </c>
      <c r="H241" s="3" t="s">
        <v>58</v>
      </c>
      <c r="I241" s="3" t="s">
        <v>58</v>
      </c>
      <c r="J241" s="3" t="s">
        <v>60</v>
      </c>
      <c r="K241" s="2" t="s">
        <v>3109</v>
      </c>
      <c r="L241" s="2" t="s">
        <v>3110</v>
      </c>
      <c r="M241" s="3" t="s">
        <v>98</v>
      </c>
      <c r="O241" s="3" t="s">
        <v>65</v>
      </c>
      <c r="P241" s="3" t="s">
        <v>186</v>
      </c>
      <c r="R241" s="3" t="s">
        <v>68</v>
      </c>
      <c r="S241" s="4">
        <v>3</v>
      </c>
      <c r="T241" s="4">
        <v>3</v>
      </c>
      <c r="U241" s="5" t="s">
        <v>2014</v>
      </c>
      <c r="V241" s="5" t="s">
        <v>2014</v>
      </c>
      <c r="W241" s="5" t="s">
        <v>2069</v>
      </c>
      <c r="X241" s="5" t="s">
        <v>2069</v>
      </c>
      <c r="Y241" s="4">
        <v>100</v>
      </c>
      <c r="Z241" s="4">
        <v>87</v>
      </c>
      <c r="AA241" s="4">
        <v>92</v>
      </c>
      <c r="AB241" s="4">
        <v>1</v>
      </c>
      <c r="AC241" s="4">
        <v>1</v>
      </c>
      <c r="AD241" s="4">
        <v>11</v>
      </c>
      <c r="AE241" s="4">
        <v>11</v>
      </c>
      <c r="AF241" s="4">
        <v>2</v>
      </c>
      <c r="AG241" s="4">
        <v>2</v>
      </c>
      <c r="AH241" s="4">
        <v>3</v>
      </c>
      <c r="AI241" s="4">
        <v>3</v>
      </c>
      <c r="AJ241" s="4">
        <v>8</v>
      </c>
      <c r="AK241" s="4">
        <v>8</v>
      </c>
      <c r="AL241" s="4">
        <v>0</v>
      </c>
      <c r="AM241" s="4">
        <v>0</v>
      </c>
      <c r="AN241" s="4">
        <v>0</v>
      </c>
      <c r="AO241" s="4">
        <v>0</v>
      </c>
      <c r="AP241" s="3" t="s">
        <v>58</v>
      </c>
      <c r="AQ241" s="3" t="s">
        <v>58</v>
      </c>
      <c r="AS241" s="6" t="str">
        <f>HYPERLINK("https://creighton-primo.hosted.exlibrisgroup.com/primo-explore/search?tab=default_tab&amp;search_scope=EVERYTHING&amp;vid=01CRU&amp;lang=en_US&amp;offset=0&amp;query=any,contains,991004571179702656","Catalog Record")</f>
        <v>Catalog Record</v>
      </c>
      <c r="AT241" s="6" t="str">
        <f>HYPERLINK("http://www.worldcat.org/oclc/4030134","WorldCat Record")</f>
        <v>WorldCat Record</v>
      </c>
      <c r="AU241" s="3" t="s">
        <v>3111</v>
      </c>
      <c r="AV241" s="3" t="s">
        <v>3112</v>
      </c>
      <c r="AW241" s="3" t="s">
        <v>3113</v>
      </c>
      <c r="AX241" s="3" t="s">
        <v>3113</v>
      </c>
      <c r="AY241" s="3" t="s">
        <v>3114</v>
      </c>
      <c r="AZ241" s="3" t="s">
        <v>75</v>
      </c>
      <c r="BC241" s="3" t="s">
        <v>3115</v>
      </c>
      <c r="BD241" s="3" t="s">
        <v>3116</v>
      </c>
    </row>
    <row r="242" spans="1:56" ht="39" customHeight="1" x14ac:dyDescent="0.25">
      <c r="A242" s="7" t="s">
        <v>58</v>
      </c>
      <c r="B242" s="2" t="s">
        <v>3117</v>
      </c>
      <c r="C242" s="2" t="s">
        <v>3118</v>
      </c>
      <c r="D242" s="2" t="s">
        <v>3119</v>
      </c>
      <c r="F242" s="3" t="s">
        <v>58</v>
      </c>
      <c r="G242" s="3" t="s">
        <v>59</v>
      </c>
      <c r="H242" s="3" t="s">
        <v>58</v>
      </c>
      <c r="I242" s="3" t="s">
        <v>58</v>
      </c>
      <c r="J242" s="3" t="s">
        <v>60</v>
      </c>
      <c r="K242" s="2" t="s">
        <v>3120</v>
      </c>
      <c r="L242" s="2" t="s">
        <v>3121</v>
      </c>
      <c r="M242" s="3" t="s">
        <v>709</v>
      </c>
      <c r="O242" s="3" t="s">
        <v>65</v>
      </c>
      <c r="P242" s="3" t="s">
        <v>113</v>
      </c>
      <c r="Q242" s="2" t="s">
        <v>3122</v>
      </c>
      <c r="R242" s="3" t="s">
        <v>68</v>
      </c>
      <c r="S242" s="4">
        <v>5</v>
      </c>
      <c r="T242" s="4">
        <v>5</v>
      </c>
      <c r="U242" s="5" t="s">
        <v>3123</v>
      </c>
      <c r="V242" s="5" t="s">
        <v>3123</v>
      </c>
      <c r="W242" s="5" t="s">
        <v>3124</v>
      </c>
      <c r="X242" s="5" t="s">
        <v>3124</v>
      </c>
      <c r="Y242" s="4">
        <v>149</v>
      </c>
      <c r="Z242" s="4">
        <v>146</v>
      </c>
      <c r="AA242" s="4">
        <v>181</v>
      </c>
      <c r="AB242" s="4">
        <v>2</v>
      </c>
      <c r="AC242" s="4">
        <v>3</v>
      </c>
      <c r="AD242" s="4">
        <v>21</v>
      </c>
      <c r="AE242" s="4">
        <v>23</v>
      </c>
      <c r="AF242" s="4">
        <v>6</v>
      </c>
      <c r="AG242" s="4">
        <v>7</v>
      </c>
      <c r="AH242" s="4">
        <v>6</v>
      </c>
      <c r="AI242" s="4">
        <v>7</v>
      </c>
      <c r="AJ242" s="4">
        <v>17</v>
      </c>
      <c r="AK242" s="4">
        <v>18</v>
      </c>
      <c r="AL242" s="4">
        <v>0</v>
      </c>
      <c r="AM242" s="4">
        <v>0</v>
      </c>
      <c r="AN242" s="4">
        <v>0</v>
      </c>
      <c r="AO242" s="4">
        <v>0</v>
      </c>
      <c r="AP242" s="3" t="s">
        <v>58</v>
      </c>
      <c r="AQ242" s="3" t="s">
        <v>58</v>
      </c>
      <c r="AS242" s="6" t="str">
        <f>HYPERLINK("https://creighton-primo.hosted.exlibrisgroup.com/primo-explore/search?tab=default_tab&amp;search_scope=EVERYTHING&amp;vid=01CRU&amp;lang=en_US&amp;offset=0&amp;query=any,contains,991001864249702656","Catalog Record")</f>
        <v>Catalog Record</v>
      </c>
      <c r="AT242" s="6" t="str">
        <f>HYPERLINK("http://www.worldcat.org/oclc/23449518","WorldCat Record")</f>
        <v>WorldCat Record</v>
      </c>
      <c r="AU242" s="3" t="s">
        <v>3125</v>
      </c>
      <c r="AV242" s="3" t="s">
        <v>3126</v>
      </c>
      <c r="AW242" s="3" t="s">
        <v>3127</v>
      </c>
      <c r="AX242" s="3" t="s">
        <v>3127</v>
      </c>
      <c r="AY242" s="3" t="s">
        <v>3128</v>
      </c>
      <c r="AZ242" s="3" t="s">
        <v>75</v>
      </c>
      <c r="BB242" s="3" t="s">
        <v>3129</v>
      </c>
      <c r="BC242" s="3" t="s">
        <v>3130</v>
      </c>
      <c r="BD242" s="3" t="s">
        <v>3131</v>
      </c>
    </row>
    <row r="243" spans="1:56" ht="39" customHeight="1" x14ac:dyDescent="0.25">
      <c r="A243" s="7" t="s">
        <v>58</v>
      </c>
      <c r="B243" s="2" t="s">
        <v>3132</v>
      </c>
      <c r="C243" s="2" t="s">
        <v>3133</v>
      </c>
      <c r="D243" s="2" t="s">
        <v>3134</v>
      </c>
      <c r="F243" s="3" t="s">
        <v>58</v>
      </c>
      <c r="G243" s="3" t="s">
        <v>59</v>
      </c>
      <c r="H243" s="3" t="s">
        <v>58</v>
      </c>
      <c r="I243" s="3" t="s">
        <v>58</v>
      </c>
      <c r="J243" s="3" t="s">
        <v>60</v>
      </c>
      <c r="K243" s="2" t="s">
        <v>3135</v>
      </c>
      <c r="L243" s="2" t="s">
        <v>3136</v>
      </c>
      <c r="M243" s="3" t="s">
        <v>318</v>
      </c>
      <c r="O243" s="3" t="s">
        <v>65</v>
      </c>
      <c r="P243" s="3" t="s">
        <v>84</v>
      </c>
      <c r="Q243" s="2" t="s">
        <v>3137</v>
      </c>
      <c r="R243" s="3" t="s">
        <v>68</v>
      </c>
      <c r="S243" s="4">
        <v>1</v>
      </c>
      <c r="T243" s="4">
        <v>1</v>
      </c>
      <c r="U243" s="5" t="s">
        <v>3138</v>
      </c>
      <c r="V243" s="5" t="s">
        <v>3138</v>
      </c>
      <c r="W243" s="5" t="s">
        <v>3138</v>
      </c>
      <c r="X243" s="5" t="s">
        <v>3138</v>
      </c>
      <c r="Y243" s="4">
        <v>162</v>
      </c>
      <c r="Z243" s="4">
        <v>134</v>
      </c>
      <c r="AA243" s="4">
        <v>134</v>
      </c>
      <c r="AB243" s="4">
        <v>1</v>
      </c>
      <c r="AC243" s="4">
        <v>1</v>
      </c>
      <c r="AD243" s="4">
        <v>10</v>
      </c>
      <c r="AE243" s="4">
        <v>10</v>
      </c>
      <c r="AF243" s="4">
        <v>5</v>
      </c>
      <c r="AG243" s="4">
        <v>5</v>
      </c>
      <c r="AH243" s="4">
        <v>2</v>
      </c>
      <c r="AI243" s="4">
        <v>2</v>
      </c>
      <c r="AJ243" s="4">
        <v>5</v>
      </c>
      <c r="AK243" s="4">
        <v>5</v>
      </c>
      <c r="AL243" s="4">
        <v>0</v>
      </c>
      <c r="AM243" s="4">
        <v>0</v>
      </c>
      <c r="AN243" s="4">
        <v>0</v>
      </c>
      <c r="AO243" s="4">
        <v>0</v>
      </c>
      <c r="AP243" s="3" t="s">
        <v>58</v>
      </c>
      <c r="AQ243" s="3" t="s">
        <v>58</v>
      </c>
      <c r="AS243" s="6" t="str">
        <f>HYPERLINK("https://creighton-primo.hosted.exlibrisgroup.com/primo-explore/search?tab=default_tab&amp;search_scope=EVERYTHING&amp;vid=01CRU&amp;lang=en_US&amp;offset=0&amp;query=any,contains,991005057229702656","Catalog Record")</f>
        <v>Catalog Record</v>
      </c>
      <c r="AT243" s="6" t="str">
        <f>HYPERLINK("http://www.worldcat.org/oclc/40193730","WorldCat Record")</f>
        <v>WorldCat Record</v>
      </c>
      <c r="AU243" s="3" t="s">
        <v>3139</v>
      </c>
      <c r="AV243" s="3" t="s">
        <v>3140</v>
      </c>
      <c r="AW243" s="3" t="s">
        <v>3141</v>
      </c>
      <c r="AX243" s="3" t="s">
        <v>3141</v>
      </c>
      <c r="AY243" s="3" t="s">
        <v>3142</v>
      </c>
      <c r="AZ243" s="3" t="s">
        <v>75</v>
      </c>
      <c r="BB243" s="3" t="s">
        <v>3143</v>
      </c>
      <c r="BC243" s="3" t="s">
        <v>3144</v>
      </c>
      <c r="BD243" s="3" t="s">
        <v>3145</v>
      </c>
    </row>
    <row r="244" spans="1:56" ht="39" customHeight="1" x14ac:dyDescent="0.25">
      <c r="A244" s="7" t="s">
        <v>58</v>
      </c>
      <c r="B244" s="2" t="s">
        <v>3146</v>
      </c>
      <c r="C244" s="2" t="s">
        <v>3147</v>
      </c>
      <c r="D244" s="2" t="s">
        <v>3148</v>
      </c>
      <c r="F244" s="3" t="s">
        <v>58</v>
      </c>
      <c r="G244" s="3" t="s">
        <v>59</v>
      </c>
      <c r="H244" s="3" t="s">
        <v>58</v>
      </c>
      <c r="I244" s="3" t="s">
        <v>58</v>
      </c>
      <c r="J244" s="3" t="s">
        <v>60</v>
      </c>
      <c r="K244" s="2" t="s">
        <v>3149</v>
      </c>
      <c r="L244" s="2" t="s">
        <v>3150</v>
      </c>
      <c r="M244" s="3" t="s">
        <v>2067</v>
      </c>
      <c r="O244" s="3" t="s">
        <v>65</v>
      </c>
      <c r="P244" s="3" t="s">
        <v>1358</v>
      </c>
      <c r="R244" s="3" t="s">
        <v>68</v>
      </c>
      <c r="S244" s="4">
        <v>2</v>
      </c>
      <c r="T244" s="4">
        <v>2</v>
      </c>
      <c r="U244" s="5" t="s">
        <v>3151</v>
      </c>
      <c r="V244" s="5" t="s">
        <v>3151</v>
      </c>
      <c r="W244" s="5" t="s">
        <v>2069</v>
      </c>
      <c r="X244" s="5" t="s">
        <v>2069</v>
      </c>
      <c r="Y244" s="4">
        <v>174</v>
      </c>
      <c r="Z244" s="4">
        <v>140</v>
      </c>
      <c r="AA244" s="4">
        <v>143</v>
      </c>
      <c r="AB244" s="4">
        <v>3</v>
      </c>
      <c r="AC244" s="4">
        <v>3</v>
      </c>
      <c r="AD244" s="4">
        <v>25</v>
      </c>
      <c r="AE244" s="4">
        <v>25</v>
      </c>
      <c r="AF244" s="4">
        <v>9</v>
      </c>
      <c r="AG244" s="4">
        <v>9</v>
      </c>
      <c r="AH244" s="4">
        <v>7</v>
      </c>
      <c r="AI244" s="4">
        <v>7</v>
      </c>
      <c r="AJ244" s="4">
        <v>19</v>
      </c>
      <c r="AK244" s="4">
        <v>19</v>
      </c>
      <c r="AL244" s="4">
        <v>0</v>
      </c>
      <c r="AM244" s="4">
        <v>0</v>
      </c>
      <c r="AN244" s="4">
        <v>0</v>
      </c>
      <c r="AO244" s="4">
        <v>0</v>
      </c>
      <c r="AP244" s="3" t="s">
        <v>58</v>
      </c>
      <c r="AQ244" s="3" t="s">
        <v>58</v>
      </c>
      <c r="AS244" s="6" t="str">
        <f>HYPERLINK("https://creighton-primo.hosted.exlibrisgroup.com/primo-explore/search?tab=default_tab&amp;search_scope=EVERYTHING&amp;vid=01CRU&amp;lang=en_US&amp;offset=0&amp;query=any,contains,991004125149702656","Catalog Record")</f>
        <v>Catalog Record</v>
      </c>
      <c r="AT244" s="6" t="str">
        <f>HYPERLINK("http://www.worldcat.org/oclc/2453257","WorldCat Record")</f>
        <v>WorldCat Record</v>
      </c>
      <c r="AU244" s="3" t="s">
        <v>3152</v>
      </c>
      <c r="AV244" s="3" t="s">
        <v>3153</v>
      </c>
      <c r="AW244" s="3" t="s">
        <v>3154</v>
      </c>
      <c r="AX244" s="3" t="s">
        <v>3154</v>
      </c>
      <c r="AY244" s="3" t="s">
        <v>3155</v>
      </c>
      <c r="AZ244" s="3" t="s">
        <v>75</v>
      </c>
      <c r="BC244" s="3" t="s">
        <v>3156</v>
      </c>
      <c r="BD244" s="3" t="s">
        <v>3157</v>
      </c>
    </row>
    <row r="245" spans="1:56" ht="39" customHeight="1" x14ac:dyDescent="0.25">
      <c r="A245" s="7" t="s">
        <v>58</v>
      </c>
      <c r="B245" s="2" t="s">
        <v>3158</v>
      </c>
      <c r="C245" s="2" t="s">
        <v>3159</v>
      </c>
      <c r="D245" s="2" t="s">
        <v>3160</v>
      </c>
      <c r="F245" s="3" t="s">
        <v>58</v>
      </c>
      <c r="G245" s="3" t="s">
        <v>59</v>
      </c>
      <c r="H245" s="3" t="s">
        <v>58</v>
      </c>
      <c r="I245" s="3" t="s">
        <v>58</v>
      </c>
      <c r="J245" s="3" t="s">
        <v>60</v>
      </c>
      <c r="K245" s="2" t="s">
        <v>3161</v>
      </c>
      <c r="L245" s="2" t="s">
        <v>3162</v>
      </c>
      <c r="M245" s="3" t="s">
        <v>3163</v>
      </c>
      <c r="O245" s="3" t="s">
        <v>65</v>
      </c>
      <c r="P245" s="3" t="s">
        <v>3164</v>
      </c>
      <c r="R245" s="3" t="s">
        <v>68</v>
      </c>
      <c r="S245" s="4">
        <v>2</v>
      </c>
      <c r="T245" s="4">
        <v>2</v>
      </c>
      <c r="U245" s="5" t="s">
        <v>3165</v>
      </c>
      <c r="V245" s="5" t="s">
        <v>3165</v>
      </c>
      <c r="W245" s="5" t="s">
        <v>2069</v>
      </c>
      <c r="X245" s="5" t="s">
        <v>2069</v>
      </c>
      <c r="Y245" s="4">
        <v>45</v>
      </c>
      <c r="Z245" s="4">
        <v>39</v>
      </c>
      <c r="AA245" s="4">
        <v>39</v>
      </c>
      <c r="AB245" s="4">
        <v>1</v>
      </c>
      <c r="AC245" s="4">
        <v>1</v>
      </c>
      <c r="AD245" s="4">
        <v>7</v>
      </c>
      <c r="AE245" s="4">
        <v>7</v>
      </c>
      <c r="AF245" s="4">
        <v>0</v>
      </c>
      <c r="AG245" s="4">
        <v>0</v>
      </c>
      <c r="AH245" s="4">
        <v>3</v>
      </c>
      <c r="AI245" s="4">
        <v>3</v>
      </c>
      <c r="AJ245" s="4">
        <v>4</v>
      </c>
      <c r="AK245" s="4">
        <v>4</v>
      </c>
      <c r="AL245" s="4">
        <v>0</v>
      </c>
      <c r="AM245" s="4">
        <v>0</v>
      </c>
      <c r="AN245" s="4">
        <v>0</v>
      </c>
      <c r="AO245" s="4">
        <v>0</v>
      </c>
      <c r="AP245" s="3" t="s">
        <v>58</v>
      </c>
      <c r="AQ245" s="3" t="s">
        <v>58</v>
      </c>
      <c r="AS245" s="6" t="str">
        <f>HYPERLINK("https://creighton-primo.hosted.exlibrisgroup.com/primo-explore/search?tab=default_tab&amp;search_scope=EVERYTHING&amp;vid=01CRU&amp;lang=en_US&amp;offset=0&amp;query=any,contains,991004518829702656","Catalog Record")</f>
        <v>Catalog Record</v>
      </c>
      <c r="AT245" s="6" t="str">
        <f>HYPERLINK("http://www.worldcat.org/oclc/3801723","WorldCat Record")</f>
        <v>WorldCat Record</v>
      </c>
      <c r="AU245" s="3" t="s">
        <v>3166</v>
      </c>
      <c r="AV245" s="3" t="s">
        <v>3167</v>
      </c>
      <c r="AW245" s="3" t="s">
        <v>3168</v>
      </c>
      <c r="AX245" s="3" t="s">
        <v>3168</v>
      </c>
      <c r="AY245" s="3" t="s">
        <v>3169</v>
      </c>
      <c r="AZ245" s="3" t="s">
        <v>75</v>
      </c>
      <c r="BC245" s="3" t="s">
        <v>3170</v>
      </c>
      <c r="BD245" s="3" t="s">
        <v>3171</v>
      </c>
    </row>
    <row r="246" spans="1:56" ht="39" customHeight="1" x14ac:dyDescent="0.25">
      <c r="A246" s="7" t="s">
        <v>58</v>
      </c>
      <c r="B246" s="2" t="s">
        <v>3172</v>
      </c>
      <c r="C246" s="2" t="s">
        <v>3173</v>
      </c>
      <c r="D246" s="2" t="s">
        <v>3174</v>
      </c>
      <c r="F246" s="3" t="s">
        <v>58</v>
      </c>
      <c r="G246" s="3" t="s">
        <v>59</v>
      </c>
      <c r="H246" s="3" t="s">
        <v>58</v>
      </c>
      <c r="I246" s="3" t="s">
        <v>58</v>
      </c>
      <c r="J246" s="3" t="s">
        <v>60</v>
      </c>
      <c r="K246" s="2" t="s">
        <v>3175</v>
      </c>
      <c r="L246" s="2" t="s">
        <v>2571</v>
      </c>
      <c r="M246" s="3" t="s">
        <v>229</v>
      </c>
      <c r="O246" s="3" t="s">
        <v>65</v>
      </c>
      <c r="P246" s="3" t="s">
        <v>186</v>
      </c>
      <c r="R246" s="3" t="s">
        <v>68</v>
      </c>
      <c r="S246" s="4">
        <v>3</v>
      </c>
      <c r="T246" s="4">
        <v>3</v>
      </c>
      <c r="U246" s="5" t="s">
        <v>3176</v>
      </c>
      <c r="V246" s="5" t="s">
        <v>3176</v>
      </c>
      <c r="W246" s="5" t="s">
        <v>3177</v>
      </c>
      <c r="X246" s="5" t="s">
        <v>3177</v>
      </c>
      <c r="Y246" s="4">
        <v>243</v>
      </c>
      <c r="Z246" s="4">
        <v>195</v>
      </c>
      <c r="AA246" s="4">
        <v>200</v>
      </c>
      <c r="AB246" s="4">
        <v>2</v>
      </c>
      <c r="AC246" s="4">
        <v>2</v>
      </c>
      <c r="AD246" s="4">
        <v>16</v>
      </c>
      <c r="AE246" s="4">
        <v>16</v>
      </c>
      <c r="AF246" s="4">
        <v>4</v>
      </c>
      <c r="AG246" s="4">
        <v>4</v>
      </c>
      <c r="AH246" s="4">
        <v>6</v>
      </c>
      <c r="AI246" s="4">
        <v>6</v>
      </c>
      <c r="AJ246" s="4">
        <v>10</v>
      </c>
      <c r="AK246" s="4">
        <v>10</v>
      </c>
      <c r="AL246" s="4">
        <v>0</v>
      </c>
      <c r="AM246" s="4">
        <v>0</v>
      </c>
      <c r="AN246" s="4">
        <v>0</v>
      </c>
      <c r="AO246" s="4">
        <v>0</v>
      </c>
      <c r="AP246" s="3" t="s">
        <v>58</v>
      </c>
      <c r="AQ246" s="3" t="s">
        <v>58</v>
      </c>
      <c r="AS246" s="6" t="str">
        <f>HYPERLINK("https://creighton-primo.hosted.exlibrisgroup.com/primo-explore/search?tab=default_tab&amp;search_scope=EVERYTHING&amp;vid=01CRU&amp;lang=en_US&amp;offset=0&amp;query=any,contains,991001508519702656","Catalog Record")</f>
        <v>Catalog Record</v>
      </c>
      <c r="AT246" s="6" t="str">
        <f>HYPERLINK("http://www.worldcat.org/oclc/19850494","WorldCat Record")</f>
        <v>WorldCat Record</v>
      </c>
      <c r="AU246" s="3" t="s">
        <v>3178</v>
      </c>
      <c r="AV246" s="3" t="s">
        <v>3179</v>
      </c>
      <c r="AW246" s="3" t="s">
        <v>3180</v>
      </c>
      <c r="AX246" s="3" t="s">
        <v>3180</v>
      </c>
      <c r="AY246" s="3" t="s">
        <v>3181</v>
      </c>
      <c r="AZ246" s="3" t="s">
        <v>75</v>
      </c>
      <c r="BB246" s="3" t="s">
        <v>3182</v>
      </c>
      <c r="BC246" s="3" t="s">
        <v>3183</v>
      </c>
      <c r="BD246" s="3" t="s">
        <v>3184</v>
      </c>
    </row>
    <row r="247" spans="1:56" ht="39" customHeight="1" x14ac:dyDescent="0.25">
      <c r="A247" s="7" t="s">
        <v>58</v>
      </c>
      <c r="B247" s="2" t="s">
        <v>3185</v>
      </c>
      <c r="C247" s="2" t="s">
        <v>3186</v>
      </c>
      <c r="D247" s="2" t="s">
        <v>3187</v>
      </c>
      <c r="F247" s="3" t="s">
        <v>58</v>
      </c>
      <c r="G247" s="3" t="s">
        <v>59</v>
      </c>
      <c r="H247" s="3" t="s">
        <v>58</v>
      </c>
      <c r="I247" s="3" t="s">
        <v>58</v>
      </c>
      <c r="J247" s="3" t="s">
        <v>60</v>
      </c>
      <c r="K247" s="2" t="s">
        <v>3188</v>
      </c>
      <c r="L247" s="2" t="s">
        <v>3189</v>
      </c>
      <c r="M247" s="3" t="s">
        <v>1449</v>
      </c>
      <c r="O247" s="3" t="s">
        <v>65</v>
      </c>
      <c r="P247" s="3" t="s">
        <v>186</v>
      </c>
      <c r="R247" s="3" t="s">
        <v>68</v>
      </c>
      <c r="S247" s="4">
        <v>2</v>
      </c>
      <c r="T247" s="4">
        <v>2</v>
      </c>
      <c r="U247" s="5" t="s">
        <v>3190</v>
      </c>
      <c r="V247" s="5" t="s">
        <v>3190</v>
      </c>
      <c r="W247" s="5" t="s">
        <v>2069</v>
      </c>
      <c r="X247" s="5" t="s">
        <v>2069</v>
      </c>
      <c r="Y247" s="4">
        <v>114</v>
      </c>
      <c r="Z247" s="4">
        <v>101</v>
      </c>
      <c r="AA247" s="4">
        <v>106</v>
      </c>
      <c r="AB247" s="4">
        <v>1</v>
      </c>
      <c r="AC247" s="4">
        <v>1</v>
      </c>
      <c r="AD247" s="4">
        <v>17</v>
      </c>
      <c r="AE247" s="4">
        <v>17</v>
      </c>
      <c r="AF247" s="4">
        <v>5</v>
      </c>
      <c r="AG247" s="4">
        <v>5</v>
      </c>
      <c r="AH247" s="4">
        <v>6</v>
      </c>
      <c r="AI247" s="4">
        <v>6</v>
      </c>
      <c r="AJ247" s="4">
        <v>14</v>
      </c>
      <c r="AK247" s="4">
        <v>14</v>
      </c>
      <c r="AL247" s="4">
        <v>0</v>
      </c>
      <c r="AM247" s="4">
        <v>0</v>
      </c>
      <c r="AN247" s="4">
        <v>0</v>
      </c>
      <c r="AO247" s="4">
        <v>0</v>
      </c>
      <c r="AP247" s="3" t="s">
        <v>58</v>
      </c>
      <c r="AQ247" s="3" t="s">
        <v>58</v>
      </c>
      <c r="AS247" s="6" t="str">
        <f>HYPERLINK("https://creighton-primo.hosted.exlibrisgroup.com/primo-explore/search?tab=default_tab&amp;search_scope=EVERYTHING&amp;vid=01CRU&amp;lang=en_US&amp;offset=0&amp;query=any,contains,991004221039702656","Catalog Record")</f>
        <v>Catalog Record</v>
      </c>
      <c r="AT247" s="6" t="str">
        <f>HYPERLINK("http://www.worldcat.org/oclc/2712628","WorldCat Record")</f>
        <v>WorldCat Record</v>
      </c>
      <c r="AU247" s="3" t="s">
        <v>3191</v>
      </c>
      <c r="AV247" s="3" t="s">
        <v>3192</v>
      </c>
      <c r="AW247" s="3" t="s">
        <v>3193</v>
      </c>
      <c r="AX247" s="3" t="s">
        <v>3193</v>
      </c>
      <c r="AY247" s="3" t="s">
        <v>3194</v>
      </c>
      <c r="AZ247" s="3" t="s">
        <v>75</v>
      </c>
      <c r="BC247" s="3" t="s">
        <v>3195</v>
      </c>
      <c r="BD247" s="3" t="s">
        <v>3196</v>
      </c>
    </row>
    <row r="248" spans="1:56" ht="39" customHeight="1" x14ac:dyDescent="0.25">
      <c r="A248" s="7" t="s">
        <v>58</v>
      </c>
      <c r="B248" s="2" t="s">
        <v>3197</v>
      </c>
      <c r="C248" s="2" t="s">
        <v>3198</v>
      </c>
      <c r="D248" s="2" t="s">
        <v>3199</v>
      </c>
      <c r="F248" s="3" t="s">
        <v>58</v>
      </c>
      <c r="G248" s="3" t="s">
        <v>59</v>
      </c>
      <c r="H248" s="3" t="s">
        <v>58</v>
      </c>
      <c r="I248" s="3" t="s">
        <v>58</v>
      </c>
      <c r="J248" s="3" t="s">
        <v>60</v>
      </c>
      <c r="K248" s="2" t="s">
        <v>3200</v>
      </c>
      <c r="L248" s="2" t="s">
        <v>3201</v>
      </c>
      <c r="M248" s="3" t="s">
        <v>682</v>
      </c>
      <c r="O248" s="3" t="s">
        <v>65</v>
      </c>
      <c r="P248" s="3" t="s">
        <v>3202</v>
      </c>
      <c r="R248" s="3" t="s">
        <v>68</v>
      </c>
      <c r="S248" s="4">
        <v>2</v>
      </c>
      <c r="T248" s="4">
        <v>2</v>
      </c>
      <c r="U248" s="5" t="s">
        <v>2014</v>
      </c>
      <c r="V248" s="5" t="s">
        <v>2014</v>
      </c>
      <c r="W248" s="5" t="s">
        <v>2069</v>
      </c>
      <c r="X248" s="5" t="s">
        <v>2069</v>
      </c>
      <c r="Y248" s="4">
        <v>186</v>
      </c>
      <c r="Z248" s="4">
        <v>168</v>
      </c>
      <c r="AA248" s="4">
        <v>174</v>
      </c>
      <c r="AB248" s="4">
        <v>3</v>
      </c>
      <c r="AC248" s="4">
        <v>3</v>
      </c>
      <c r="AD248" s="4">
        <v>21</v>
      </c>
      <c r="AE248" s="4">
        <v>21</v>
      </c>
      <c r="AF248" s="4">
        <v>5</v>
      </c>
      <c r="AG248" s="4">
        <v>5</v>
      </c>
      <c r="AH248" s="4">
        <v>6</v>
      </c>
      <c r="AI248" s="4">
        <v>6</v>
      </c>
      <c r="AJ248" s="4">
        <v>16</v>
      </c>
      <c r="AK248" s="4">
        <v>16</v>
      </c>
      <c r="AL248" s="4">
        <v>0</v>
      </c>
      <c r="AM248" s="4">
        <v>0</v>
      </c>
      <c r="AN248" s="4">
        <v>0</v>
      </c>
      <c r="AO248" s="4">
        <v>0</v>
      </c>
      <c r="AP248" s="3" t="s">
        <v>58</v>
      </c>
      <c r="AQ248" s="3" t="s">
        <v>58</v>
      </c>
      <c r="AS248" s="6" t="str">
        <f>HYPERLINK("https://creighton-primo.hosted.exlibrisgroup.com/primo-explore/search?tab=default_tab&amp;search_scope=EVERYTHING&amp;vid=01CRU&amp;lang=en_US&amp;offset=0&amp;query=any,contains,991003766149702656","Catalog Record")</f>
        <v>Catalog Record</v>
      </c>
      <c r="AT248" s="6" t="str">
        <f>HYPERLINK("http://www.worldcat.org/oclc/1459150","WorldCat Record")</f>
        <v>WorldCat Record</v>
      </c>
      <c r="AU248" s="3" t="s">
        <v>3203</v>
      </c>
      <c r="AV248" s="3" t="s">
        <v>3204</v>
      </c>
      <c r="AW248" s="3" t="s">
        <v>3205</v>
      </c>
      <c r="AX248" s="3" t="s">
        <v>3205</v>
      </c>
      <c r="AY248" s="3" t="s">
        <v>3206</v>
      </c>
      <c r="AZ248" s="3" t="s">
        <v>75</v>
      </c>
      <c r="BC248" s="3" t="s">
        <v>3207</v>
      </c>
      <c r="BD248" s="3" t="s">
        <v>3208</v>
      </c>
    </row>
    <row r="249" spans="1:56" ht="39" customHeight="1" x14ac:dyDescent="0.25">
      <c r="A249" s="7" t="s">
        <v>58</v>
      </c>
      <c r="B249" s="2" t="s">
        <v>3209</v>
      </c>
      <c r="C249" s="2" t="s">
        <v>3210</v>
      </c>
      <c r="D249" s="2" t="s">
        <v>3211</v>
      </c>
      <c r="F249" s="3" t="s">
        <v>58</v>
      </c>
      <c r="G249" s="3" t="s">
        <v>59</v>
      </c>
      <c r="H249" s="3" t="s">
        <v>58</v>
      </c>
      <c r="I249" s="3" t="s">
        <v>58</v>
      </c>
      <c r="J249" s="3" t="s">
        <v>60</v>
      </c>
      <c r="K249" s="2" t="s">
        <v>3212</v>
      </c>
      <c r="L249" s="2" t="s">
        <v>3213</v>
      </c>
      <c r="M249" s="3" t="s">
        <v>544</v>
      </c>
      <c r="O249" s="3" t="s">
        <v>65</v>
      </c>
      <c r="P249" s="3" t="s">
        <v>113</v>
      </c>
      <c r="Q249" s="2" t="s">
        <v>3214</v>
      </c>
      <c r="R249" s="3" t="s">
        <v>68</v>
      </c>
      <c r="S249" s="4">
        <v>1</v>
      </c>
      <c r="T249" s="4">
        <v>1</v>
      </c>
      <c r="U249" s="5" t="s">
        <v>3215</v>
      </c>
      <c r="V249" s="5" t="s">
        <v>3215</v>
      </c>
      <c r="W249" s="5" t="s">
        <v>3216</v>
      </c>
      <c r="X249" s="5" t="s">
        <v>3216</v>
      </c>
      <c r="Y249" s="4">
        <v>82</v>
      </c>
      <c r="Z249" s="4">
        <v>78</v>
      </c>
      <c r="AA249" s="4">
        <v>102</v>
      </c>
      <c r="AB249" s="4">
        <v>1</v>
      </c>
      <c r="AC249" s="4">
        <v>1</v>
      </c>
      <c r="AD249" s="4">
        <v>12</v>
      </c>
      <c r="AE249" s="4">
        <v>12</v>
      </c>
      <c r="AF249" s="4">
        <v>2</v>
      </c>
      <c r="AG249" s="4">
        <v>2</v>
      </c>
      <c r="AH249" s="4">
        <v>4</v>
      </c>
      <c r="AI249" s="4">
        <v>4</v>
      </c>
      <c r="AJ249" s="4">
        <v>9</v>
      </c>
      <c r="AK249" s="4">
        <v>9</v>
      </c>
      <c r="AL249" s="4">
        <v>0</v>
      </c>
      <c r="AM249" s="4">
        <v>0</v>
      </c>
      <c r="AN249" s="4">
        <v>0</v>
      </c>
      <c r="AO249" s="4">
        <v>0</v>
      </c>
      <c r="AP249" s="3" t="s">
        <v>58</v>
      </c>
      <c r="AQ249" s="3" t="s">
        <v>58</v>
      </c>
      <c r="AS249" s="6" t="str">
        <f>HYPERLINK("https://creighton-primo.hosted.exlibrisgroup.com/primo-explore/search?tab=default_tab&amp;search_scope=EVERYTHING&amp;vid=01CRU&amp;lang=en_US&amp;offset=0&amp;query=any,contains,991003042439702656","Catalog Record")</f>
        <v>Catalog Record</v>
      </c>
      <c r="AT249" s="6" t="str">
        <f>HYPERLINK("http://www.worldcat.org/oclc/42276619","WorldCat Record")</f>
        <v>WorldCat Record</v>
      </c>
      <c r="AU249" s="3" t="s">
        <v>3217</v>
      </c>
      <c r="AV249" s="3" t="s">
        <v>3218</v>
      </c>
      <c r="AW249" s="3" t="s">
        <v>3219</v>
      </c>
      <c r="AX249" s="3" t="s">
        <v>3219</v>
      </c>
      <c r="AY249" s="3" t="s">
        <v>3220</v>
      </c>
      <c r="AZ249" s="3" t="s">
        <v>75</v>
      </c>
      <c r="BB249" s="3" t="s">
        <v>3221</v>
      </c>
      <c r="BC249" s="3" t="s">
        <v>3222</v>
      </c>
      <c r="BD249" s="3" t="s">
        <v>3223</v>
      </c>
    </row>
    <row r="250" spans="1:56" ht="39" customHeight="1" x14ac:dyDescent="0.25">
      <c r="A250" s="7" t="s">
        <v>58</v>
      </c>
      <c r="B250" s="2" t="s">
        <v>3224</v>
      </c>
      <c r="C250" s="2" t="s">
        <v>3225</v>
      </c>
      <c r="D250" s="2" t="s">
        <v>3226</v>
      </c>
      <c r="F250" s="3" t="s">
        <v>58</v>
      </c>
      <c r="G250" s="3" t="s">
        <v>59</v>
      </c>
      <c r="H250" s="3" t="s">
        <v>58</v>
      </c>
      <c r="I250" s="3" t="s">
        <v>58</v>
      </c>
      <c r="J250" s="3" t="s">
        <v>60</v>
      </c>
      <c r="K250" s="2" t="s">
        <v>3227</v>
      </c>
      <c r="L250" s="2" t="s">
        <v>3228</v>
      </c>
      <c r="M250" s="3" t="s">
        <v>2192</v>
      </c>
      <c r="O250" s="3" t="s">
        <v>65</v>
      </c>
      <c r="P250" s="3" t="s">
        <v>66</v>
      </c>
      <c r="R250" s="3" t="s">
        <v>68</v>
      </c>
      <c r="S250" s="4">
        <v>1</v>
      </c>
      <c r="T250" s="4">
        <v>1</v>
      </c>
      <c r="U250" s="5" t="s">
        <v>3229</v>
      </c>
      <c r="V250" s="5" t="s">
        <v>3229</v>
      </c>
      <c r="W250" s="5" t="s">
        <v>2069</v>
      </c>
      <c r="X250" s="5" t="s">
        <v>2069</v>
      </c>
      <c r="Y250" s="4">
        <v>26</v>
      </c>
      <c r="Z250" s="4">
        <v>15</v>
      </c>
      <c r="AA250" s="4">
        <v>15</v>
      </c>
      <c r="AB250" s="4">
        <v>1</v>
      </c>
      <c r="AC250" s="4">
        <v>1</v>
      </c>
      <c r="AD250" s="4">
        <v>4</v>
      </c>
      <c r="AE250" s="4">
        <v>4</v>
      </c>
      <c r="AF250" s="4">
        <v>0</v>
      </c>
      <c r="AG250" s="4">
        <v>0</v>
      </c>
      <c r="AH250" s="4">
        <v>1</v>
      </c>
      <c r="AI250" s="4">
        <v>1</v>
      </c>
      <c r="AJ250" s="4">
        <v>4</v>
      </c>
      <c r="AK250" s="4">
        <v>4</v>
      </c>
      <c r="AL250" s="4">
        <v>0</v>
      </c>
      <c r="AM250" s="4">
        <v>0</v>
      </c>
      <c r="AN250" s="4">
        <v>0</v>
      </c>
      <c r="AO250" s="4">
        <v>0</v>
      </c>
      <c r="AP250" s="3" t="s">
        <v>58</v>
      </c>
      <c r="AQ250" s="3" t="s">
        <v>58</v>
      </c>
      <c r="AS250" s="6" t="str">
        <f>HYPERLINK("https://creighton-primo.hosted.exlibrisgroup.com/primo-explore/search?tab=default_tab&amp;search_scope=EVERYTHING&amp;vid=01CRU&amp;lang=en_US&amp;offset=0&amp;query=any,contains,991004996789702656","Catalog Record")</f>
        <v>Catalog Record</v>
      </c>
      <c r="AT250" s="6" t="str">
        <f>HYPERLINK("http://www.worldcat.org/oclc/6524781","WorldCat Record")</f>
        <v>WorldCat Record</v>
      </c>
      <c r="AU250" s="3" t="s">
        <v>3230</v>
      </c>
      <c r="AV250" s="3" t="s">
        <v>3231</v>
      </c>
      <c r="AW250" s="3" t="s">
        <v>3232</v>
      </c>
      <c r="AX250" s="3" t="s">
        <v>3232</v>
      </c>
      <c r="AY250" s="3" t="s">
        <v>3233</v>
      </c>
      <c r="AZ250" s="3" t="s">
        <v>75</v>
      </c>
      <c r="BC250" s="3" t="s">
        <v>3234</v>
      </c>
      <c r="BD250" s="3" t="s">
        <v>3235</v>
      </c>
    </row>
    <row r="251" spans="1:56" ht="39" customHeight="1" x14ac:dyDescent="0.25">
      <c r="A251" s="7" t="s">
        <v>58</v>
      </c>
      <c r="B251" s="2" t="s">
        <v>3236</v>
      </c>
      <c r="C251" s="2" t="s">
        <v>3237</v>
      </c>
      <c r="D251" s="2" t="s">
        <v>3238</v>
      </c>
      <c r="F251" s="3" t="s">
        <v>58</v>
      </c>
      <c r="G251" s="3" t="s">
        <v>59</v>
      </c>
      <c r="H251" s="3" t="s">
        <v>58</v>
      </c>
      <c r="I251" s="3" t="s">
        <v>58</v>
      </c>
      <c r="J251" s="3" t="s">
        <v>60</v>
      </c>
      <c r="K251" s="2" t="s">
        <v>3239</v>
      </c>
      <c r="L251" s="2" t="s">
        <v>3240</v>
      </c>
      <c r="M251" s="3" t="s">
        <v>1905</v>
      </c>
      <c r="O251" s="3" t="s">
        <v>65</v>
      </c>
      <c r="P251" s="3" t="s">
        <v>492</v>
      </c>
      <c r="R251" s="3" t="s">
        <v>68</v>
      </c>
      <c r="S251" s="4">
        <v>3</v>
      </c>
      <c r="T251" s="4">
        <v>3</v>
      </c>
      <c r="U251" s="5" t="s">
        <v>3165</v>
      </c>
      <c r="V251" s="5" t="s">
        <v>3165</v>
      </c>
      <c r="W251" s="5" t="s">
        <v>2069</v>
      </c>
      <c r="X251" s="5" t="s">
        <v>2069</v>
      </c>
      <c r="Y251" s="4">
        <v>135</v>
      </c>
      <c r="Z251" s="4">
        <v>121</v>
      </c>
      <c r="AA251" s="4">
        <v>126</v>
      </c>
      <c r="AB251" s="4">
        <v>2</v>
      </c>
      <c r="AC251" s="4">
        <v>2</v>
      </c>
      <c r="AD251" s="4">
        <v>17</v>
      </c>
      <c r="AE251" s="4">
        <v>17</v>
      </c>
      <c r="AF251" s="4">
        <v>3</v>
      </c>
      <c r="AG251" s="4">
        <v>3</v>
      </c>
      <c r="AH251" s="4">
        <v>6</v>
      </c>
      <c r="AI251" s="4">
        <v>6</v>
      </c>
      <c r="AJ251" s="4">
        <v>11</v>
      </c>
      <c r="AK251" s="4">
        <v>11</v>
      </c>
      <c r="AL251" s="4">
        <v>0</v>
      </c>
      <c r="AM251" s="4">
        <v>0</v>
      </c>
      <c r="AN251" s="4">
        <v>0</v>
      </c>
      <c r="AO251" s="4">
        <v>0</v>
      </c>
      <c r="AP251" s="3" t="s">
        <v>58</v>
      </c>
      <c r="AQ251" s="3" t="s">
        <v>58</v>
      </c>
      <c r="AS251" s="6" t="str">
        <f>HYPERLINK("https://creighton-primo.hosted.exlibrisgroup.com/primo-explore/search?tab=default_tab&amp;search_scope=EVERYTHING&amp;vid=01CRU&amp;lang=en_US&amp;offset=0&amp;query=any,contains,991003810039702656","Catalog Record")</f>
        <v>Catalog Record</v>
      </c>
      <c r="AT251" s="6" t="str">
        <f>HYPERLINK("http://www.worldcat.org/oclc/1535294","WorldCat Record")</f>
        <v>WorldCat Record</v>
      </c>
      <c r="AU251" s="3" t="s">
        <v>3241</v>
      </c>
      <c r="AV251" s="3" t="s">
        <v>3242</v>
      </c>
      <c r="AW251" s="3" t="s">
        <v>3243</v>
      </c>
      <c r="AX251" s="3" t="s">
        <v>3243</v>
      </c>
      <c r="AY251" s="3" t="s">
        <v>3244</v>
      </c>
      <c r="AZ251" s="3" t="s">
        <v>75</v>
      </c>
      <c r="BC251" s="3" t="s">
        <v>3245</v>
      </c>
      <c r="BD251" s="3" t="s">
        <v>3246</v>
      </c>
    </row>
    <row r="252" spans="1:56" ht="39" customHeight="1" x14ac:dyDescent="0.25">
      <c r="A252" s="7" t="s">
        <v>58</v>
      </c>
      <c r="B252" s="2" t="s">
        <v>3247</v>
      </c>
      <c r="C252" s="2" t="s">
        <v>3248</v>
      </c>
      <c r="D252" s="2" t="s">
        <v>3249</v>
      </c>
      <c r="F252" s="3" t="s">
        <v>58</v>
      </c>
      <c r="G252" s="3" t="s">
        <v>59</v>
      </c>
      <c r="H252" s="3" t="s">
        <v>58</v>
      </c>
      <c r="I252" s="3" t="s">
        <v>58</v>
      </c>
      <c r="J252" s="3" t="s">
        <v>60</v>
      </c>
      <c r="K252" s="2" t="s">
        <v>3250</v>
      </c>
      <c r="L252" s="2" t="s">
        <v>3251</v>
      </c>
      <c r="M252" s="3" t="s">
        <v>289</v>
      </c>
      <c r="N252" s="2" t="s">
        <v>3252</v>
      </c>
      <c r="O252" s="3" t="s">
        <v>65</v>
      </c>
      <c r="P252" s="3" t="s">
        <v>571</v>
      </c>
      <c r="R252" s="3" t="s">
        <v>68</v>
      </c>
      <c r="S252" s="4">
        <v>5</v>
      </c>
      <c r="T252" s="4">
        <v>5</v>
      </c>
      <c r="U252" s="5" t="s">
        <v>3253</v>
      </c>
      <c r="V252" s="5" t="s">
        <v>3253</v>
      </c>
      <c r="W252" s="5" t="s">
        <v>2704</v>
      </c>
      <c r="X252" s="5" t="s">
        <v>2704</v>
      </c>
      <c r="Y252" s="4">
        <v>119</v>
      </c>
      <c r="Z252" s="4">
        <v>98</v>
      </c>
      <c r="AA252" s="4">
        <v>103</v>
      </c>
      <c r="AB252" s="4">
        <v>3</v>
      </c>
      <c r="AC252" s="4">
        <v>3</v>
      </c>
      <c r="AD252" s="4">
        <v>12</v>
      </c>
      <c r="AE252" s="4">
        <v>12</v>
      </c>
      <c r="AF252" s="4">
        <v>0</v>
      </c>
      <c r="AG252" s="4">
        <v>0</v>
      </c>
      <c r="AH252" s="4">
        <v>2</v>
      </c>
      <c r="AI252" s="4">
        <v>2</v>
      </c>
      <c r="AJ252" s="4">
        <v>10</v>
      </c>
      <c r="AK252" s="4">
        <v>10</v>
      </c>
      <c r="AL252" s="4">
        <v>1</v>
      </c>
      <c r="AM252" s="4">
        <v>1</v>
      </c>
      <c r="AN252" s="4">
        <v>0</v>
      </c>
      <c r="AO252" s="4">
        <v>0</v>
      </c>
      <c r="AP252" s="3" t="s">
        <v>58</v>
      </c>
      <c r="AQ252" s="3" t="s">
        <v>58</v>
      </c>
      <c r="AS252" s="6" t="str">
        <f>HYPERLINK("https://creighton-primo.hosted.exlibrisgroup.com/primo-explore/search?tab=default_tab&amp;search_scope=EVERYTHING&amp;vid=01CRU&amp;lang=en_US&amp;offset=0&amp;query=any,contains,991005108659702656","Catalog Record")</f>
        <v>Catalog Record</v>
      </c>
      <c r="AT252" s="6" t="str">
        <f>HYPERLINK("http://www.worldcat.org/oclc/7381976","WorldCat Record")</f>
        <v>WorldCat Record</v>
      </c>
      <c r="AU252" s="3" t="s">
        <v>3254</v>
      </c>
      <c r="AV252" s="3" t="s">
        <v>3255</v>
      </c>
      <c r="AW252" s="3" t="s">
        <v>3256</v>
      </c>
      <c r="AX252" s="3" t="s">
        <v>3256</v>
      </c>
      <c r="AY252" s="3" t="s">
        <v>3257</v>
      </c>
      <c r="AZ252" s="3" t="s">
        <v>75</v>
      </c>
      <c r="BC252" s="3" t="s">
        <v>3258</v>
      </c>
      <c r="BD252" s="3" t="s">
        <v>3259</v>
      </c>
    </row>
    <row r="253" spans="1:56" ht="39" customHeight="1" x14ac:dyDescent="0.25">
      <c r="A253" s="7" t="s">
        <v>58</v>
      </c>
      <c r="B253" s="2" t="s">
        <v>3260</v>
      </c>
      <c r="C253" s="2" t="s">
        <v>3261</v>
      </c>
      <c r="D253" s="2" t="s">
        <v>3262</v>
      </c>
      <c r="F253" s="3" t="s">
        <v>58</v>
      </c>
      <c r="G253" s="3" t="s">
        <v>59</v>
      </c>
      <c r="H253" s="3" t="s">
        <v>58</v>
      </c>
      <c r="I253" s="3" t="s">
        <v>58</v>
      </c>
      <c r="J253" s="3" t="s">
        <v>60</v>
      </c>
      <c r="K253" s="2" t="s">
        <v>3263</v>
      </c>
      <c r="L253" s="2" t="s">
        <v>3264</v>
      </c>
      <c r="M253" s="3" t="s">
        <v>439</v>
      </c>
      <c r="O253" s="3" t="s">
        <v>65</v>
      </c>
      <c r="P253" s="3" t="s">
        <v>186</v>
      </c>
      <c r="R253" s="3" t="s">
        <v>68</v>
      </c>
      <c r="S253" s="4">
        <v>6</v>
      </c>
      <c r="T253" s="4">
        <v>6</v>
      </c>
      <c r="U253" s="5" t="s">
        <v>3265</v>
      </c>
      <c r="V253" s="5" t="s">
        <v>3265</v>
      </c>
      <c r="W253" s="5" t="s">
        <v>2612</v>
      </c>
      <c r="X253" s="5" t="s">
        <v>2612</v>
      </c>
      <c r="Y253" s="4">
        <v>194</v>
      </c>
      <c r="Z253" s="4">
        <v>174</v>
      </c>
      <c r="AA253" s="4">
        <v>191</v>
      </c>
      <c r="AB253" s="4">
        <v>1</v>
      </c>
      <c r="AC253" s="4">
        <v>1</v>
      </c>
      <c r="AD253" s="4">
        <v>19</v>
      </c>
      <c r="AE253" s="4">
        <v>20</v>
      </c>
      <c r="AF253" s="4">
        <v>7</v>
      </c>
      <c r="AG253" s="4">
        <v>7</v>
      </c>
      <c r="AH253" s="4">
        <v>6</v>
      </c>
      <c r="AI253" s="4">
        <v>6</v>
      </c>
      <c r="AJ253" s="4">
        <v>13</v>
      </c>
      <c r="AK253" s="4">
        <v>14</v>
      </c>
      <c r="AL253" s="4">
        <v>0</v>
      </c>
      <c r="AM253" s="4">
        <v>0</v>
      </c>
      <c r="AN253" s="4">
        <v>0</v>
      </c>
      <c r="AO253" s="4">
        <v>0</v>
      </c>
      <c r="AP253" s="3" t="s">
        <v>58</v>
      </c>
      <c r="AQ253" s="3" t="s">
        <v>58</v>
      </c>
      <c r="AS253" s="6" t="str">
        <f>HYPERLINK("https://creighton-primo.hosted.exlibrisgroup.com/primo-explore/search?tab=default_tab&amp;search_scope=EVERYTHING&amp;vid=01CRU&amp;lang=en_US&amp;offset=0&amp;query=any,contains,991004877399702656","Catalog Record")</f>
        <v>Catalog Record</v>
      </c>
      <c r="AT253" s="6" t="str">
        <f>HYPERLINK("http://www.worldcat.org/oclc/5798781","WorldCat Record")</f>
        <v>WorldCat Record</v>
      </c>
      <c r="AU253" s="3" t="s">
        <v>3266</v>
      </c>
      <c r="AV253" s="3" t="s">
        <v>3267</v>
      </c>
      <c r="AW253" s="3" t="s">
        <v>3268</v>
      </c>
      <c r="AX253" s="3" t="s">
        <v>3268</v>
      </c>
      <c r="AY253" s="3" t="s">
        <v>3269</v>
      </c>
      <c r="AZ253" s="3" t="s">
        <v>75</v>
      </c>
      <c r="BB253" s="3" t="s">
        <v>3270</v>
      </c>
      <c r="BC253" s="3" t="s">
        <v>3271</v>
      </c>
      <c r="BD253" s="3" t="s">
        <v>3272</v>
      </c>
    </row>
    <row r="254" spans="1:56" ht="39" customHeight="1" x14ac:dyDescent="0.25">
      <c r="A254" s="7" t="s">
        <v>58</v>
      </c>
      <c r="B254" s="2" t="s">
        <v>3273</v>
      </c>
      <c r="C254" s="2" t="s">
        <v>3274</v>
      </c>
      <c r="D254" s="2" t="s">
        <v>3275</v>
      </c>
      <c r="F254" s="3" t="s">
        <v>58</v>
      </c>
      <c r="G254" s="3" t="s">
        <v>59</v>
      </c>
      <c r="H254" s="3" t="s">
        <v>58</v>
      </c>
      <c r="I254" s="3" t="s">
        <v>58</v>
      </c>
      <c r="J254" s="3" t="s">
        <v>60</v>
      </c>
      <c r="K254" s="2" t="s">
        <v>3276</v>
      </c>
      <c r="L254" s="2" t="s">
        <v>3277</v>
      </c>
      <c r="M254" s="3" t="s">
        <v>374</v>
      </c>
      <c r="O254" s="3" t="s">
        <v>65</v>
      </c>
      <c r="P254" s="3" t="s">
        <v>346</v>
      </c>
      <c r="R254" s="3" t="s">
        <v>68</v>
      </c>
      <c r="S254" s="4">
        <v>1</v>
      </c>
      <c r="T254" s="4">
        <v>1</v>
      </c>
      <c r="U254" s="5" t="s">
        <v>3278</v>
      </c>
      <c r="V254" s="5" t="s">
        <v>3278</v>
      </c>
      <c r="W254" s="5" t="s">
        <v>3278</v>
      </c>
      <c r="X254" s="5" t="s">
        <v>3278</v>
      </c>
      <c r="Y254" s="4">
        <v>197</v>
      </c>
      <c r="Z254" s="4">
        <v>160</v>
      </c>
      <c r="AA254" s="4">
        <v>167</v>
      </c>
      <c r="AB254" s="4">
        <v>4</v>
      </c>
      <c r="AC254" s="4">
        <v>4</v>
      </c>
      <c r="AD254" s="4">
        <v>16</v>
      </c>
      <c r="AE254" s="4">
        <v>16</v>
      </c>
      <c r="AF254" s="4">
        <v>6</v>
      </c>
      <c r="AG254" s="4">
        <v>6</v>
      </c>
      <c r="AH254" s="4">
        <v>3</v>
      </c>
      <c r="AI254" s="4">
        <v>3</v>
      </c>
      <c r="AJ254" s="4">
        <v>8</v>
      </c>
      <c r="AK254" s="4">
        <v>8</v>
      </c>
      <c r="AL254" s="4">
        <v>3</v>
      </c>
      <c r="AM254" s="4">
        <v>3</v>
      </c>
      <c r="AN254" s="4">
        <v>0</v>
      </c>
      <c r="AO254" s="4">
        <v>0</v>
      </c>
      <c r="AP254" s="3" t="s">
        <v>58</v>
      </c>
      <c r="AQ254" s="3" t="s">
        <v>132</v>
      </c>
      <c r="AR254" s="6" t="str">
        <f>HYPERLINK("http://catalog.hathitrust.org/Record/003043502","HathiTrust Record")</f>
        <v>HathiTrust Record</v>
      </c>
      <c r="AS254" s="6" t="str">
        <f>HYPERLINK("https://creighton-primo.hosted.exlibrisgroup.com/primo-explore/search?tab=default_tab&amp;search_scope=EVERYTHING&amp;vid=01CRU&amp;lang=en_US&amp;offset=0&amp;query=any,contains,991004006649702656","Catalog Record")</f>
        <v>Catalog Record</v>
      </c>
      <c r="AT254" s="6" t="str">
        <f>HYPERLINK("http://www.worldcat.org/oclc/33166322","WorldCat Record")</f>
        <v>WorldCat Record</v>
      </c>
      <c r="AU254" s="3" t="s">
        <v>3279</v>
      </c>
      <c r="AV254" s="3" t="s">
        <v>3280</v>
      </c>
      <c r="AW254" s="3" t="s">
        <v>3281</v>
      </c>
      <c r="AX254" s="3" t="s">
        <v>3281</v>
      </c>
      <c r="AY254" s="3" t="s">
        <v>3282</v>
      </c>
      <c r="AZ254" s="3" t="s">
        <v>75</v>
      </c>
      <c r="BB254" s="3" t="s">
        <v>3283</v>
      </c>
      <c r="BC254" s="3" t="s">
        <v>3284</v>
      </c>
      <c r="BD254" s="3" t="s">
        <v>3285</v>
      </c>
    </row>
    <row r="255" spans="1:56" ht="39" customHeight="1" x14ac:dyDescent="0.25">
      <c r="A255" s="7" t="s">
        <v>58</v>
      </c>
      <c r="B255" s="2" t="s">
        <v>3286</v>
      </c>
      <c r="C255" s="2" t="s">
        <v>3287</v>
      </c>
      <c r="D255" s="2" t="s">
        <v>3288</v>
      </c>
      <c r="F255" s="3" t="s">
        <v>58</v>
      </c>
      <c r="G255" s="3" t="s">
        <v>59</v>
      </c>
      <c r="H255" s="3" t="s">
        <v>58</v>
      </c>
      <c r="I255" s="3" t="s">
        <v>58</v>
      </c>
      <c r="J255" s="3" t="s">
        <v>60</v>
      </c>
      <c r="K255" s="2" t="s">
        <v>3289</v>
      </c>
      <c r="L255" s="2" t="s">
        <v>3290</v>
      </c>
      <c r="M255" s="3" t="s">
        <v>871</v>
      </c>
      <c r="O255" s="3" t="s">
        <v>65</v>
      </c>
      <c r="P255" s="3" t="s">
        <v>186</v>
      </c>
      <c r="R255" s="3" t="s">
        <v>68</v>
      </c>
      <c r="S255" s="4">
        <v>2</v>
      </c>
      <c r="T255" s="4">
        <v>2</v>
      </c>
      <c r="U255" s="5" t="s">
        <v>3151</v>
      </c>
      <c r="V255" s="5" t="s">
        <v>3151</v>
      </c>
      <c r="W255" s="5" t="s">
        <v>3291</v>
      </c>
      <c r="X255" s="5" t="s">
        <v>3291</v>
      </c>
      <c r="Y255" s="4">
        <v>133</v>
      </c>
      <c r="Z255" s="4">
        <v>116</v>
      </c>
      <c r="AA255" s="4">
        <v>132</v>
      </c>
      <c r="AB255" s="4">
        <v>1</v>
      </c>
      <c r="AC255" s="4">
        <v>1</v>
      </c>
      <c r="AD255" s="4">
        <v>21</v>
      </c>
      <c r="AE255" s="4">
        <v>22</v>
      </c>
      <c r="AF255" s="4">
        <v>7</v>
      </c>
      <c r="AG255" s="4">
        <v>8</v>
      </c>
      <c r="AH255" s="4">
        <v>6</v>
      </c>
      <c r="AI255" s="4">
        <v>6</v>
      </c>
      <c r="AJ255" s="4">
        <v>17</v>
      </c>
      <c r="AK255" s="4">
        <v>18</v>
      </c>
      <c r="AL255" s="4">
        <v>0</v>
      </c>
      <c r="AM255" s="4">
        <v>0</v>
      </c>
      <c r="AN255" s="4">
        <v>0</v>
      </c>
      <c r="AO255" s="4">
        <v>0</v>
      </c>
      <c r="AP255" s="3" t="s">
        <v>58</v>
      </c>
      <c r="AQ255" s="3" t="s">
        <v>58</v>
      </c>
      <c r="AS255" s="6" t="str">
        <f>HYPERLINK("https://creighton-primo.hosted.exlibrisgroup.com/primo-explore/search?tab=default_tab&amp;search_scope=EVERYTHING&amp;vid=01CRU&amp;lang=en_US&amp;offset=0&amp;query=any,contains,991004137259702656","Catalog Record")</f>
        <v>Catalog Record</v>
      </c>
      <c r="AT255" s="6" t="str">
        <f>HYPERLINK("http://www.worldcat.org/oclc/2490371","WorldCat Record")</f>
        <v>WorldCat Record</v>
      </c>
      <c r="AU255" s="3" t="s">
        <v>3292</v>
      </c>
      <c r="AV255" s="3" t="s">
        <v>3293</v>
      </c>
      <c r="AW255" s="3" t="s">
        <v>3294</v>
      </c>
      <c r="AX255" s="3" t="s">
        <v>3294</v>
      </c>
      <c r="AY255" s="3" t="s">
        <v>3295</v>
      </c>
      <c r="AZ255" s="3" t="s">
        <v>75</v>
      </c>
      <c r="BC255" s="3" t="s">
        <v>3296</v>
      </c>
      <c r="BD255" s="3" t="s">
        <v>3297</v>
      </c>
    </row>
    <row r="256" spans="1:56" ht="39" customHeight="1" x14ac:dyDescent="0.25">
      <c r="A256" s="7" t="s">
        <v>58</v>
      </c>
      <c r="B256" s="2" t="s">
        <v>3298</v>
      </c>
      <c r="C256" s="2" t="s">
        <v>3299</v>
      </c>
      <c r="D256" s="2" t="s">
        <v>3300</v>
      </c>
      <c r="F256" s="3" t="s">
        <v>58</v>
      </c>
      <c r="G256" s="3" t="s">
        <v>59</v>
      </c>
      <c r="H256" s="3" t="s">
        <v>58</v>
      </c>
      <c r="I256" s="3" t="s">
        <v>58</v>
      </c>
      <c r="J256" s="3" t="s">
        <v>60</v>
      </c>
      <c r="K256" s="2" t="s">
        <v>3301</v>
      </c>
      <c r="L256" s="2" t="s">
        <v>3302</v>
      </c>
      <c r="M256" s="3" t="s">
        <v>172</v>
      </c>
      <c r="O256" s="3" t="s">
        <v>65</v>
      </c>
      <c r="P256" s="3" t="s">
        <v>967</v>
      </c>
      <c r="R256" s="3" t="s">
        <v>68</v>
      </c>
      <c r="S256" s="4">
        <v>6</v>
      </c>
      <c r="T256" s="4">
        <v>6</v>
      </c>
      <c r="U256" s="5" t="s">
        <v>3303</v>
      </c>
      <c r="V256" s="5" t="s">
        <v>3303</v>
      </c>
      <c r="W256" s="5" t="s">
        <v>3291</v>
      </c>
      <c r="X256" s="5" t="s">
        <v>3291</v>
      </c>
      <c r="Y256" s="4">
        <v>155</v>
      </c>
      <c r="Z256" s="4">
        <v>132</v>
      </c>
      <c r="AA256" s="4">
        <v>132</v>
      </c>
      <c r="AB256" s="4">
        <v>2</v>
      </c>
      <c r="AC256" s="4">
        <v>2</v>
      </c>
      <c r="AD256" s="4">
        <v>12</v>
      </c>
      <c r="AE256" s="4">
        <v>12</v>
      </c>
      <c r="AF256" s="4">
        <v>3</v>
      </c>
      <c r="AG256" s="4">
        <v>3</v>
      </c>
      <c r="AH256" s="4">
        <v>3</v>
      </c>
      <c r="AI256" s="4">
        <v>3</v>
      </c>
      <c r="AJ256" s="4">
        <v>9</v>
      </c>
      <c r="AK256" s="4">
        <v>9</v>
      </c>
      <c r="AL256" s="4">
        <v>0</v>
      </c>
      <c r="AM256" s="4">
        <v>0</v>
      </c>
      <c r="AN256" s="4">
        <v>0</v>
      </c>
      <c r="AO256" s="4">
        <v>0</v>
      </c>
      <c r="AP256" s="3" t="s">
        <v>58</v>
      </c>
      <c r="AQ256" s="3" t="s">
        <v>58</v>
      </c>
      <c r="AS256" s="6" t="str">
        <f>HYPERLINK("https://creighton-primo.hosted.exlibrisgroup.com/primo-explore/search?tab=default_tab&amp;search_scope=EVERYTHING&amp;vid=01CRU&amp;lang=en_US&amp;offset=0&amp;query=any,contains,991001295849702656","Catalog Record")</f>
        <v>Catalog Record</v>
      </c>
      <c r="AT256" s="6" t="str">
        <f>HYPERLINK("http://www.worldcat.org/oclc/219563","WorldCat Record")</f>
        <v>WorldCat Record</v>
      </c>
      <c r="AU256" s="3" t="s">
        <v>3304</v>
      </c>
      <c r="AV256" s="3" t="s">
        <v>3305</v>
      </c>
      <c r="AW256" s="3" t="s">
        <v>3306</v>
      </c>
      <c r="AX256" s="3" t="s">
        <v>3306</v>
      </c>
      <c r="AY256" s="3" t="s">
        <v>3307</v>
      </c>
      <c r="AZ256" s="3" t="s">
        <v>75</v>
      </c>
      <c r="BB256" s="3" t="s">
        <v>3308</v>
      </c>
      <c r="BC256" s="3" t="s">
        <v>3309</v>
      </c>
      <c r="BD256" s="3" t="s">
        <v>3310</v>
      </c>
    </row>
    <row r="257" spans="1:56" ht="39" customHeight="1" x14ac:dyDescent="0.25">
      <c r="A257" s="7" t="s">
        <v>58</v>
      </c>
      <c r="B257" s="2" t="s">
        <v>3311</v>
      </c>
      <c r="C257" s="2" t="s">
        <v>3312</v>
      </c>
      <c r="D257" s="2" t="s">
        <v>3313</v>
      </c>
      <c r="F257" s="3" t="s">
        <v>58</v>
      </c>
      <c r="G257" s="3" t="s">
        <v>59</v>
      </c>
      <c r="H257" s="3" t="s">
        <v>58</v>
      </c>
      <c r="I257" s="3" t="s">
        <v>58</v>
      </c>
      <c r="J257" s="3" t="s">
        <v>60</v>
      </c>
      <c r="L257" s="2" t="s">
        <v>3314</v>
      </c>
      <c r="M257" s="3" t="s">
        <v>759</v>
      </c>
      <c r="O257" s="3" t="s">
        <v>65</v>
      </c>
      <c r="P257" s="3" t="s">
        <v>2303</v>
      </c>
      <c r="R257" s="3" t="s">
        <v>68</v>
      </c>
      <c r="S257" s="4">
        <v>2</v>
      </c>
      <c r="T257" s="4">
        <v>2</v>
      </c>
      <c r="U257" s="5" t="s">
        <v>3315</v>
      </c>
      <c r="V257" s="5" t="s">
        <v>3315</v>
      </c>
      <c r="W257" s="5" t="s">
        <v>3316</v>
      </c>
      <c r="X257" s="5" t="s">
        <v>3316</v>
      </c>
      <c r="Y257" s="4">
        <v>106</v>
      </c>
      <c r="Z257" s="4">
        <v>92</v>
      </c>
      <c r="AA257" s="4">
        <v>94</v>
      </c>
      <c r="AB257" s="4">
        <v>1</v>
      </c>
      <c r="AC257" s="4">
        <v>1</v>
      </c>
      <c r="AD257" s="4">
        <v>10</v>
      </c>
      <c r="AE257" s="4">
        <v>10</v>
      </c>
      <c r="AF257" s="4">
        <v>3</v>
      </c>
      <c r="AG257" s="4">
        <v>3</v>
      </c>
      <c r="AH257" s="4">
        <v>1</v>
      </c>
      <c r="AI257" s="4">
        <v>1</v>
      </c>
      <c r="AJ257" s="4">
        <v>7</v>
      </c>
      <c r="AK257" s="4">
        <v>7</v>
      </c>
      <c r="AL257" s="4">
        <v>0</v>
      </c>
      <c r="AM257" s="4">
        <v>0</v>
      </c>
      <c r="AN257" s="4">
        <v>0</v>
      </c>
      <c r="AO257" s="4">
        <v>0</v>
      </c>
      <c r="AP257" s="3" t="s">
        <v>58</v>
      </c>
      <c r="AQ257" s="3" t="s">
        <v>58</v>
      </c>
      <c r="AS257" s="6" t="str">
        <f>HYPERLINK("https://creighton-primo.hosted.exlibrisgroup.com/primo-explore/search?tab=default_tab&amp;search_scope=EVERYTHING&amp;vid=01CRU&amp;lang=en_US&amp;offset=0&amp;query=any,contains,991001391049702656","Catalog Record")</f>
        <v>Catalog Record</v>
      </c>
      <c r="AT257" s="6" t="str">
        <f>HYPERLINK("http://www.worldcat.org/oclc/18763882","WorldCat Record")</f>
        <v>WorldCat Record</v>
      </c>
      <c r="AU257" s="3" t="s">
        <v>3317</v>
      </c>
      <c r="AV257" s="3" t="s">
        <v>3318</v>
      </c>
      <c r="AW257" s="3" t="s">
        <v>3319</v>
      </c>
      <c r="AX257" s="3" t="s">
        <v>3319</v>
      </c>
      <c r="AY257" s="3" t="s">
        <v>3320</v>
      </c>
      <c r="AZ257" s="3" t="s">
        <v>75</v>
      </c>
      <c r="BB257" s="3" t="s">
        <v>3321</v>
      </c>
      <c r="BC257" s="3" t="s">
        <v>3322</v>
      </c>
      <c r="BD257" s="3" t="s">
        <v>3323</v>
      </c>
    </row>
    <row r="258" spans="1:56" ht="39" customHeight="1" x14ac:dyDescent="0.25">
      <c r="A258" s="7" t="s">
        <v>58</v>
      </c>
      <c r="B258" s="2" t="s">
        <v>3324</v>
      </c>
      <c r="C258" s="2" t="s">
        <v>3325</v>
      </c>
      <c r="D258" s="2" t="s">
        <v>3326</v>
      </c>
      <c r="F258" s="3" t="s">
        <v>58</v>
      </c>
      <c r="G258" s="3" t="s">
        <v>59</v>
      </c>
      <c r="H258" s="3" t="s">
        <v>132</v>
      </c>
      <c r="I258" s="3" t="s">
        <v>58</v>
      </c>
      <c r="J258" s="3" t="s">
        <v>60</v>
      </c>
      <c r="K258" s="2" t="s">
        <v>3327</v>
      </c>
      <c r="L258" s="2" t="s">
        <v>3328</v>
      </c>
      <c r="M258" s="3" t="s">
        <v>389</v>
      </c>
      <c r="O258" s="3" t="s">
        <v>65</v>
      </c>
      <c r="P258" s="3" t="s">
        <v>84</v>
      </c>
      <c r="R258" s="3" t="s">
        <v>68</v>
      </c>
      <c r="S258" s="4">
        <v>7</v>
      </c>
      <c r="T258" s="4">
        <v>7</v>
      </c>
      <c r="U258" s="5" t="s">
        <v>3329</v>
      </c>
      <c r="V258" s="5" t="s">
        <v>3329</v>
      </c>
      <c r="W258" s="5" t="s">
        <v>3330</v>
      </c>
      <c r="X258" s="5" t="s">
        <v>3331</v>
      </c>
      <c r="Y258" s="4">
        <v>134</v>
      </c>
      <c r="Z258" s="4">
        <v>112</v>
      </c>
      <c r="AA258" s="4">
        <v>117</v>
      </c>
      <c r="AB258" s="4">
        <v>3</v>
      </c>
      <c r="AC258" s="4">
        <v>3</v>
      </c>
      <c r="AD258" s="4">
        <v>22</v>
      </c>
      <c r="AE258" s="4">
        <v>22</v>
      </c>
      <c r="AF258" s="4">
        <v>5</v>
      </c>
      <c r="AG258" s="4">
        <v>5</v>
      </c>
      <c r="AH258" s="4">
        <v>7</v>
      </c>
      <c r="AI258" s="4">
        <v>7</v>
      </c>
      <c r="AJ258" s="4">
        <v>17</v>
      </c>
      <c r="AK258" s="4">
        <v>17</v>
      </c>
      <c r="AL258" s="4">
        <v>1</v>
      </c>
      <c r="AM258" s="4">
        <v>1</v>
      </c>
      <c r="AN258" s="4">
        <v>0</v>
      </c>
      <c r="AO258" s="4">
        <v>0</v>
      </c>
      <c r="AP258" s="3" t="s">
        <v>58</v>
      </c>
      <c r="AQ258" s="3" t="s">
        <v>58</v>
      </c>
      <c r="AS258" s="6" t="str">
        <f>HYPERLINK("https://creighton-primo.hosted.exlibrisgroup.com/primo-explore/search?tab=default_tab&amp;search_scope=EVERYTHING&amp;vid=01CRU&amp;lang=en_US&amp;offset=0&amp;query=any,contains,991000169729702656","Catalog Record")</f>
        <v>Catalog Record</v>
      </c>
      <c r="AT258" s="6" t="str">
        <f>HYPERLINK("http://www.worldcat.org/oclc/61916","WorldCat Record")</f>
        <v>WorldCat Record</v>
      </c>
      <c r="AU258" s="3" t="s">
        <v>3332</v>
      </c>
      <c r="AV258" s="3" t="s">
        <v>3333</v>
      </c>
      <c r="AW258" s="3" t="s">
        <v>3334</v>
      </c>
      <c r="AX258" s="3" t="s">
        <v>3334</v>
      </c>
      <c r="AY258" s="3" t="s">
        <v>3335</v>
      </c>
      <c r="AZ258" s="3" t="s">
        <v>75</v>
      </c>
      <c r="BC258" s="3" t="s">
        <v>3336</v>
      </c>
      <c r="BD258" s="3" t="s">
        <v>3337</v>
      </c>
    </row>
    <row r="259" spans="1:56" ht="39" customHeight="1" x14ac:dyDescent="0.25">
      <c r="A259" s="7" t="s">
        <v>58</v>
      </c>
      <c r="B259" s="2" t="s">
        <v>3338</v>
      </c>
      <c r="C259" s="2" t="s">
        <v>3339</v>
      </c>
      <c r="D259" s="2" t="s">
        <v>3340</v>
      </c>
      <c r="F259" s="3" t="s">
        <v>58</v>
      </c>
      <c r="G259" s="3" t="s">
        <v>59</v>
      </c>
      <c r="H259" s="3" t="s">
        <v>58</v>
      </c>
      <c r="I259" s="3" t="s">
        <v>58</v>
      </c>
      <c r="J259" s="3" t="s">
        <v>60</v>
      </c>
      <c r="K259" s="2" t="s">
        <v>3341</v>
      </c>
      <c r="L259" s="2" t="s">
        <v>3342</v>
      </c>
      <c r="M259" s="3" t="s">
        <v>655</v>
      </c>
      <c r="O259" s="3" t="s">
        <v>65</v>
      </c>
      <c r="P259" s="3" t="s">
        <v>186</v>
      </c>
      <c r="R259" s="3" t="s">
        <v>68</v>
      </c>
      <c r="S259" s="4">
        <v>1</v>
      </c>
      <c r="T259" s="4">
        <v>1</v>
      </c>
      <c r="U259" s="5" t="s">
        <v>3343</v>
      </c>
      <c r="V259" s="5" t="s">
        <v>3343</v>
      </c>
      <c r="W259" s="5" t="s">
        <v>3343</v>
      </c>
      <c r="X259" s="5" t="s">
        <v>3343</v>
      </c>
      <c r="Y259" s="4">
        <v>366</v>
      </c>
      <c r="Z259" s="4">
        <v>300</v>
      </c>
      <c r="AA259" s="4">
        <v>306</v>
      </c>
      <c r="AB259" s="4">
        <v>2</v>
      </c>
      <c r="AC259" s="4">
        <v>2</v>
      </c>
      <c r="AD259" s="4">
        <v>32</v>
      </c>
      <c r="AE259" s="4">
        <v>32</v>
      </c>
      <c r="AF259" s="4">
        <v>11</v>
      </c>
      <c r="AG259" s="4">
        <v>11</v>
      </c>
      <c r="AH259" s="4">
        <v>8</v>
      </c>
      <c r="AI259" s="4">
        <v>8</v>
      </c>
      <c r="AJ259" s="4">
        <v>23</v>
      </c>
      <c r="AK259" s="4">
        <v>23</v>
      </c>
      <c r="AL259" s="4">
        <v>0</v>
      </c>
      <c r="AM259" s="4">
        <v>0</v>
      </c>
      <c r="AN259" s="4">
        <v>0</v>
      </c>
      <c r="AO259" s="4">
        <v>0</v>
      </c>
      <c r="AP259" s="3" t="s">
        <v>58</v>
      </c>
      <c r="AQ259" s="3" t="s">
        <v>132</v>
      </c>
      <c r="AR259" s="6" t="str">
        <f>HYPERLINK("http://catalog.hathitrust.org/Record/007853792","HathiTrust Record")</f>
        <v>HathiTrust Record</v>
      </c>
      <c r="AS259" s="6" t="str">
        <f>HYPERLINK("https://creighton-primo.hosted.exlibrisgroup.com/primo-explore/search?tab=default_tab&amp;search_scope=EVERYTHING&amp;vid=01CRU&amp;lang=en_US&amp;offset=0&amp;query=any,contains,991005328559702656","Catalog Record")</f>
        <v>Catalog Record</v>
      </c>
      <c r="AT259" s="6" t="str">
        <f>HYPERLINK("http://www.worldcat.org/oclc/805145","WorldCat Record")</f>
        <v>WorldCat Record</v>
      </c>
      <c r="AU259" s="3" t="s">
        <v>3344</v>
      </c>
      <c r="AV259" s="3" t="s">
        <v>3345</v>
      </c>
      <c r="AW259" s="3" t="s">
        <v>3346</v>
      </c>
      <c r="AX259" s="3" t="s">
        <v>3346</v>
      </c>
      <c r="AY259" s="3" t="s">
        <v>3347</v>
      </c>
      <c r="AZ259" s="3" t="s">
        <v>75</v>
      </c>
      <c r="BB259" s="3" t="s">
        <v>3348</v>
      </c>
      <c r="BC259" s="3" t="s">
        <v>3349</v>
      </c>
      <c r="BD259" s="3" t="s">
        <v>3350</v>
      </c>
    </row>
    <row r="260" spans="1:56" ht="39" customHeight="1" x14ac:dyDescent="0.25">
      <c r="A260" s="7" t="s">
        <v>58</v>
      </c>
      <c r="B260" s="2" t="s">
        <v>3351</v>
      </c>
      <c r="C260" s="2" t="s">
        <v>3352</v>
      </c>
      <c r="D260" s="2" t="s">
        <v>3353</v>
      </c>
      <c r="F260" s="3" t="s">
        <v>58</v>
      </c>
      <c r="G260" s="3" t="s">
        <v>59</v>
      </c>
      <c r="H260" s="3" t="s">
        <v>58</v>
      </c>
      <c r="I260" s="3" t="s">
        <v>58</v>
      </c>
      <c r="J260" s="3" t="s">
        <v>60</v>
      </c>
      <c r="K260" s="2" t="s">
        <v>3354</v>
      </c>
      <c r="L260" s="2" t="s">
        <v>3355</v>
      </c>
      <c r="M260" s="3" t="s">
        <v>3356</v>
      </c>
      <c r="O260" s="3" t="s">
        <v>65</v>
      </c>
      <c r="P260" s="3" t="s">
        <v>492</v>
      </c>
      <c r="R260" s="3" t="s">
        <v>68</v>
      </c>
      <c r="S260" s="4">
        <v>2</v>
      </c>
      <c r="T260" s="4">
        <v>2</v>
      </c>
      <c r="U260" s="5" t="s">
        <v>3229</v>
      </c>
      <c r="V260" s="5" t="s">
        <v>3229</v>
      </c>
      <c r="W260" s="5" t="s">
        <v>2069</v>
      </c>
      <c r="X260" s="5" t="s">
        <v>2069</v>
      </c>
      <c r="Y260" s="4">
        <v>79</v>
      </c>
      <c r="Z260" s="4">
        <v>69</v>
      </c>
      <c r="AA260" s="4">
        <v>69</v>
      </c>
      <c r="AB260" s="4">
        <v>1</v>
      </c>
      <c r="AC260" s="4">
        <v>1</v>
      </c>
      <c r="AD260" s="4">
        <v>8</v>
      </c>
      <c r="AE260" s="4">
        <v>8</v>
      </c>
      <c r="AF260" s="4">
        <v>2</v>
      </c>
      <c r="AG260" s="4">
        <v>2</v>
      </c>
      <c r="AH260" s="4">
        <v>3</v>
      </c>
      <c r="AI260" s="4">
        <v>3</v>
      </c>
      <c r="AJ260" s="4">
        <v>6</v>
      </c>
      <c r="AK260" s="4">
        <v>6</v>
      </c>
      <c r="AL260" s="4">
        <v>0</v>
      </c>
      <c r="AM260" s="4">
        <v>0</v>
      </c>
      <c r="AN260" s="4">
        <v>0</v>
      </c>
      <c r="AO260" s="4">
        <v>0</v>
      </c>
      <c r="AP260" s="3" t="s">
        <v>58</v>
      </c>
      <c r="AQ260" s="3" t="s">
        <v>58</v>
      </c>
      <c r="AS260" s="6" t="str">
        <f>HYPERLINK("https://creighton-primo.hosted.exlibrisgroup.com/primo-explore/search?tab=default_tab&amp;search_scope=EVERYTHING&amp;vid=01CRU&amp;lang=en_US&amp;offset=0&amp;query=any,contains,991004345089702656","Catalog Record")</f>
        <v>Catalog Record</v>
      </c>
      <c r="AT260" s="6" t="str">
        <f>HYPERLINK("http://www.worldcat.org/oclc/3100044","WorldCat Record")</f>
        <v>WorldCat Record</v>
      </c>
      <c r="AU260" s="3" t="s">
        <v>3357</v>
      </c>
      <c r="AV260" s="3" t="s">
        <v>3358</v>
      </c>
      <c r="AW260" s="3" t="s">
        <v>3359</v>
      </c>
      <c r="AX260" s="3" t="s">
        <v>3359</v>
      </c>
      <c r="AY260" s="3" t="s">
        <v>3360</v>
      </c>
      <c r="AZ260" s="3" t="s">
        <v>75</v>
      </c>
      <c r="BC260" s="3" t="s">
        <v>3361</v>
      </c>
      <c r="BD260" s="3" t="s">
        <v>3362</v>
      </c>
    </row>
    <row r="261" spans="1:56" ht="39" customHeight="1" x14ac:dyDescent="0.25">
      <c r="A261" s="7" t="s">
        <v>58</v>
      </c>
      <c r="B261" s="2" t="s">
        <v>3363</v>
      </c>
      <c r="C261" s="2" t="s">
        <v>3364</v>
      </c>
      <c r="D261" s="2" t="s">
        <v>3365</v>
      </c>
      <c r="F261" s="3" t="s">
        <v>58</v>
      </c>
      <c r="G261" s="3" t="s">
        <v>59</v>
      </c>
      <c r="H261" s="3" t="s">
        <v>58</v>
      </c>
      <c r="I261" s="3" t="s">
        <v>58</v>
      </c>
      <c r="J261" s="3" t="s">
        <v>60</v>
      </c>
      <c r="K261" s="2" t="s">
        <v>3366</v>
      </c>
      <c r="L261" s="2" t="s">
        <v>3367</v>
      </c>
      <c r="M261" s="3" t="s">
        <v>2179</v>
      </c>
      <c r="N261" s="2" t="s">
        <v>2831</v>
      </c>
      <c r="O261" s="3" t="s">
        <v>65</v>
      </c>
      <c r="P261" s="3" t="s">
        <v>492</v>
      </c>
      <c r="R261" s="3" t="s">
        <v>68</v>
      </c>
      <c r="S261" s="4">
        <v>2</v>
      </c>
      <c r="T261" s="4">
        <v>2</v>
      </c>
      <c r="U261" s="5" t="s">
        <v>3368</v>
      </c>
      <c r="V261" s="5" t="s">
        <v>3368</v>
      </c>
      <c r="W261" s="5" t="s">
        <v>3369</v>
      </c>
      <c r="X261" s="5" t="s">
        <v>3369</v>
      </c>
      <c r="Y261" s="4">
        <v>198</v>
      </c>
      <c r="Z261" s="4">
        <v>174</v>
      </c>
      <c r="AA261" s="4">
        <v>181</v>
      </c>
      <c r="AB261" s="4">
        <v>2</v>
      </c>
      <c r="AC261" s="4">
        <v>2</v>
      </c>
      <c r="AD261" s="4">
        <v>27</v>
      </c>
      <c r="AE261" s="4">
        <v>27</v>
      </c>
      <c r="AF261" s="4">
        <v>8</v>
      </c>
      <c r="AG261" s="4">
        <v>8</v>
      </c>
      <c r="AH261" s="4">
        <v>6</v>
      </c>
      <c r="AI261" s="4">
        <v>6</v>
      </c>
      <c r="AJ261" s="4">
        <v>24</v>
      </c>
      <c r="AK261" s="4">
        <v>24</v>
      </c>
      <c r="AL261" s="4">
        <v>0</v>
      </c>
      <c r="AM261" s="4">
        <v>0</v>
      </c>
      <c r="AN261" s="4">
        <v>0</v>
      </c>
      <c r="AO261" s="4">
        <v>0</v>
      </c>
      <c r="AP261" s="3" t="s">
        <v>58</v>
      </c>
      <c r="AQ261" s="3" t="s">
        <v>58</v>
      </c>
      <c r="AR261" s="6" t="str">
        <f>HYPERLINK("http://catalog.hathitrust.org/Record/006762227","HathiTrust Record")</f>
        <v>HathiTrust Record</v>
      </c>
      <c r="AS261" s="6" t="str">
        <f>HYPERLINK("https://creighton-primo.hosted.exlibrisgroup.com/primo-explore/search?tab=default_tab&amp;search_scope=EVERYTHING&amp;vid=01CRU&amp;lang=en_US&amp;offset=0&amp;query=any,contains,991003659509702656","Catalog Record")</f>
        <v>Catalog Record</v>
      </c>
      <c r="AT261" s="6" t="str">
        <f>HYPERLINK("http://www.worldcat.org/oclc/1266400","WorldCat Record")</f>
        <v>WorldCat Record</v>
      </c>
      <c r="AU261" s="3" t="s">
        <v>3370</v>
      </c>
      <c r="AV261" s="3" t="s">
        <v>3371</v>
      </c>
      <c r="AW261" s="3" t="s">
        <v>3372</v>
      </c>
      <c r="AX261" s="3" t="s">
        <v>3372</v>
      </c>
      <c r="AY261" s="3" t="s">
        <v>3373</v>
      </c>
      <c r="AZ261" s="3" t="s">
        <v>75</v>
      </c>
      <c r="BC261" s="3" t="s">
        <v>3374</v>
      </c>
      <c r="BD261" s="3" t="s">
        <v>3375</v>
      </c>
    </row>
    <row r="262" spans="1:56" ht="39" customHeight="1" x14ac:dyDescent="0.25">
      <c r="A262" s="7" t="s">
        <v>58</v>
      </c>
      <c r="B262" s="2" t="s">
        <v>3376</v>
      </c>
      <c r="C262" s="2" t="s">
        <v>3377</v>
      </c>
      <c r="D262" s="2" t="s">
        <v>3378</v>
      </c>
      <c r="F262" s="3" t="s">
        <v>58</v>
      </c>
      <c r="G262" s="3" t="s">
        <v>59</v>
      </c>
      <c r="H262" s="3" t="s">
        <v>58</v>
      </c>
      <c r="I262" s="3" t="s">
        <v>58</v>
      </c>
      <c r="J262" s="3" t="s">
        <v>60</v>
      </c>
      <c r="K262" s="2" t="s">
        <v>3379</v>
      </c>
      <c r="L262" s="2" t="s">
        <v>3380</v>
      </c>
      <c r="M262" s="3" t="s">
        <v>831</v>
      </c>
      <c r="O262" s="3" t="s">
        <v>65</v>
      </c>
      <c r="P262" s="3" t="s">
        <v>492</v>
      </c>
      <c r="R262" s="3" t="s">
        <v>68</v>
      </c>
      <c r="S262" s="4">
        <v>6</v>
      </c>
      <c r="T262" s="4">
        <v>6</v>
      </c>
      <c r="U262" s="5" t="s">
        <v>3381</v>
      </c>
      <c r="V262" s="5" t="s">
        <v>3381</v>
      </c>
      <c r="W262" s="5" t="s">
        <v>2069</v>
      </c>
      <c r="X262" s="5" t="s">
        <v>2069</v>
      </c>
      <c r="Y262" s="4">
        <v>211</v>
      </c>
      <c r="Z262" s="4">
        <v>190</v>
      </c>
      <c r="AA262" s="4">
        <v>242</v>
      </c>
      <c r="AB262" s="4">
        <v>3</v>
      </c>
      <c r="AC262" s="4">
        <v>3</v>
      </c>
      <c r="AD262" s="4">
        <v>18</v>
      </c>
      <c r="AE262" s="4">
        <v>28</v>
      </c>
      <c r="AF262" s="4">
        <v>4</v>
      </c>
      <c r="AG262" s="4">
        <v>9</v>
      </c>
      <c r="AH262" s="4">
        <v>5</v>
      </c>
      <c r="AI262" s="4">
        <v>6</v>
      </c>
      <c r="AJ262" s="4">
        <v>15</v>
      </c>
      <c r="AK262" s="4">
        <v>24</v>
      </c>
      <c r="AL262" s="4">
        <v>0</v>
      </c>
      <c r="AM262" s="4">
        <v>0</v>
      </c>
      <c r="AN262" s="4">
        <v>0</v>
      </c>
      <c r="AO262" s="4">
        <v>0</v>
      </c>
      <c r="AP262" s="3" t="s">
        <v>58</v>
      </c>
      <c r="AQ262" s="3" t="s">
        <v>58</v>
      </c>
      <c r="AR262" s="6" t="str">
        <f>HYPERLINK("http://catalog.hathitrust.org/Record/007121309","HathiTrust Record")</f>
        <v>HathiTrust Record</v>
      </c>
      <c r="AS262" s="6" t="str">
        <f>HYPERLINK("https://creighton-primo.hosted.exlibrisgroup.com/primo-explore/search?tab=default_tab&amp;search_scope=EVERYTHING&amp;vid=01CRU&amp;lang=en_US&amp;offset=0&amp;query=any,contains,991002640519702656","Catalog Record")</f>
        <v>Catalog Record</v>
      </c>
      <c r="AT262" s="6" t="str">
        <f>HYPERLINK("http://www.worldcat.org/oclc/384149","WorldCat Record")</f>
        <v>WorldCat Record</v>
      </c>
      <c r="AU262" s="3" t="s">
        <v>3382</v>
      </c>
      <c r="AV262" s="3" t="s">
        <v>3383</v>
      </c>
      <c r="AW262" s="3" t="s">
        <v>3384</v>
      </c>
      <c r="AX262" s="3" t="s">
        <v>3384</v>
      </c>
      <c r="AY262" s="3" t="s">
        <v>3385</v>
      </c>
      <c r="AZ262" s="3" t="s">
        <v>75</v>
      </c>
      <c r="BC262" s="3" t="s">
        <v>3386</v>
      </c>
      <c r="BD262" s="3" t="s">
        <v>3387</v>
      </c>
    </row>
    <row r="263" spans="1:56" ht="39" customHeight="1" x14ac:dyDescent="0.25">
      <c r="A263" s="7" t="s">
        <v>58</v>
      </c>
      <c r="B263" s="2" t="s">
        <v>3388</v>
      </c>
      <c r="C263" s="2" t="s">
        <v>3389</v>
      </c>
      <c r="D263" s="2" t="s">
        <v>3390</v>
      </c>
      <c r="E263" s="3" t="s">
        <v>1928</v>
      </c>
      <c r="F263" s="3" t="s">
        <v>132</v>
      </c>
      <c r="G263" s="3" t="s">
        <v>59</v>
      </c>
      <c r="H263" s="3" t="s">
        <v>58</v>
      </c>
      <c r="I263" s="3" t="s">
        <v>58</v>
      </c>
      <c r="J263" s="3" t="s">
        <v>60</v>
      </c>
      <c r="K263" s="2" t="s">
        <v>3391</v>
      </c>
      <c r="L263" s="2" t="s">
        <v>3392</v>
      </c>
      <c r="M263" s="3" t="s">
        <v>3010</v>
      </c>
      <c r="O263" s="3" t="s">
        <v>1490</v>
      </c>
      <c r="P263" s="3" t="s">
        <v>3393</v>
      </c>
      <c r="R263" s="3" t="s">
        <v>68</v>
      </c>
      <c r="S263" s="4">
        <v>2</v>
      </c>
      <c r="T263" s="4">
        <v>2</v>
      </c>
      <c r="U263" s="5" t="s">
        <v>3394</v>
      </c>
      <c r="V263" s="5" t="s">
        <v>3394</v>
      </c>
      <c r="W263" s="5" t="s">
        <v>2069</v>
      </c>
      <c r="X263" s="5" t="s">
        <v>2069</v>
      </c>
      <c r="Y263" s="4">
        <v>69</v>
      </c>
      <c r="Z263" s="4">
        <v>51</v>
      </c>
      <c r="AA263" s="4">
        <v>65</v>
      </c>
      <c r="AB263" s="4">
        <v>1</v>
      </c>
      <c r="AC263" s="4">
        <v>1</v>
      </c>
      <c r="AD263" s="4">
        <v>13</v>
      </c>
      <c r="AE263" s="4">
        <v>13</v>
      </c>
      <c r="AF263" s="4">
        <v>3</v>
      </c>
      <c r="AG263" s="4">
        <v>3</v>
      </c>
      <c r="AH263" s="4">
        <v>2</v>
      </c>
      <c r="AI263" s="4">
        <v>2</v>
      </c>
      <c r="AJ263" s="4">
        <v>12</v>
      </c>
      <c r="AK263" s="4">
        <v>12</v>
      </c>
      <c r="AL263" s="4">
        <v>0</v>
      </c>
      <c r="AM263" s="4">
        <v>0</v>
      </c>
      <c r="AN263" s="4">
        <v>0</v>
      </c>
      <c r="AO263" s="4">
        <v>0</v>
      </c>
      <c r="AP263" s="3" t="s">
        <v>132</v>
      </c>
      <c r="AQ263" s="3" t="s">
        <v>58</v>
      </c>
      <c r="AR263" s="6" t="str">
        <f>HYPERLINK("http://catalog.hathitrust.org/Record/008911019","HathiTrust Record")</f>
        <v>HathiTrust Record</v>
      </c>
      <c r="AS263" s="6" t="str">
        <f>HYPERLINK("https://creighton-primo.hosted.exlibrisgroup.com/primo-explore/search?tab=default_tab&amp;search_scope=EVERYTHING&amp;vid=01CRU&amp;lang=en_US&amp;offset=0&amp;query=any,contains,991004862779702656","Catalog Record")</f>
        <v>Catalog Record</v>
      </c>
      <c r="AT263" s="6" t="str">
        <f>HYPERLINK("http://www.worldcat.org/oclc/5719273","WorldCat Record")</f>
        <v>WorldCat Record</v>
      </c>
      <c r="AU263" s="3" t="s">
        <v>3395</v>
      </c>
      <c r="AV263" s="3" t="s">
        <v>3396</v>
      </c>
      <c r="AW263" s="3" t="s">
        <v>3397</v>
      </c>
      <c r="AX263" s="3" t="s">
        <v>3397</v>
      </c>
      <c r="AY263" s="3" t="s">
        <v>3398</v>
      </c>
      <c r="AZ263" s="3" t="s">
        <v>75</v>
      </c>
      <c r="BC263" s="3" t="s">
        <v>3399</v>
      </c>
      <c r="BD263" s="3" t="s">
        <v>3400</v>
      </c>
    </row>
    <row r="264" spans="1:56" ht="39" customHeight="1" x14ac:dyDescent="0.25">
      <c r="A264" s="7" t="s">
        <v>58</v>
      </c>
      <c r="B264" s="2" t="s">
        <v>3388</v>
      </c>
      <c r="C264" s="2" t="s">
        <v>3389</v>
      </c>
      <c r="D264" s="2" t="s">
        <v>3390</v>
      </c>
      <c r="E264" s="3" t="s">
        <v>1913</v>
      </c>
      <c r="F264" s="3" t="s">
        <v>132</v>
      </c>
      <c r="G264" s="3" t="s">
        <v>59</v>
      </c>
      <c r="H264" s="3" t="s">
        <v>58</v>
      </c>
      <c r="I264" s="3" t="s">
        <v>58</v>
      </c>
      <c r="J264" s="3" t="s">
        <v>60</v>
      </c>
      <c r="K264" s="2" t="s">
        <v>3391</v>
      </c>
      <c r="L264" s="2" t="s">
        <v>3392</v>
      </c>
      <c r="M264" s="3" t="s">
        <v>3010</v>
      </c>
      <c r="O264" s="3" t="s">
        <v>1490</v>
      </c>
      <c r="P264" s="3" t="s">
        <v>3393</v>
      </c>
      <c r="R264" s="3" t="s">
        <v>68</v>
      </c>
      <c r="S264" s="4">
        <v>0</v>
      </c>
      <c r="T264" s="4">
        <v>2</v>
      </c>
      <c r="V264" s="5" t="s">
        <v>3394</v>
      </c>
      <c r="W264" s="5" t="s">
        <v>2069</v>
      </c>
      <c r="X264" s="5" t="s">
        <v>2069</v>
      </c>
      <c r="Y264" s="4">
        <v>69</v>
      </c>
      <c r="Z264" s="4">
        <v>51</v>
      </c>
      <c r="AA264" s="4">
        <v>65</v>
      </c>
      <c r="AB264" s="4">
        <v>1</v>
      </c>
      <c r="AC264" s="4">
        <v>1</v>
      </c>
      <c r="AD264" s="4">
        <v>13</v>
      </c>
      <c r="AE264" s="4">
        <v>13</v>
      </c>
      <c r="AF264" s="4">
        <v>3</v>
      </c>
      <c r="AG264" s="4">
        <v>3</v>
      </c>
      <c r="AH264" s="4">
        <v>2</v>
      </c>
      <c r="AI264" s="4">
        <v>2</v>
      </c>
      <c r="AJ264" s="4">
        <v>12</v>
      </c>
      <c r="AK264" s="4">
        <v>12</v>
      </c>
      <c r="AL264" s="4">
        <v>0</v>
      </c>
      <c r="AM264" s="4">
        <v>0</v>
      </c>
      <c r="AN264" s="4">
        <v>0</v>
      </c>
      <c r="AO264" s="4">
        <v>0</v>
      </c>
      <c r="AP264" s="3" t="s">
        <v>132</v>
      </c>
      <c r="AQ264" s="3" t="s">
        <v>58</v>
      </c>
      <c r="AR264" s="6" t="str">
        <f>HYPERLINK("http://catalog.hathitrust.org/Record/008911019","HathiTrust Record")</f>
        <v>HathiTrust Record</v>
      </c>
      <c r="AS264" s="6" t="str">
        <f>HYPERLINK("https://creighton-primo.hosted.exlibrisgroup.com/primo-explore/search?tab=default_tab&amp;search_scope=EVERYTHING&amp;vid=01CRU&amp;lang=en_US&amp;offset=0&amp;query=any,contains,991004862779702656","Catalog Record")</f>
        <v>Catalog Record</v>
      </c>
      <c r="AT264" s="6" t="str">
        <f>HYPERLINK("http://www.worldcat.org/oclc/5719273","WorldCat Record")</f>
        <v>WorldCat Record</v>
      </c>
      <c r="AU264" s="3" t="s">
        <v>3395</v>
      </c>
      <c r="AV264" s="3" t="s">
        <v>3396</v>
      </c>
      <c r="AW264" s="3" t="s">
        <v>3397</v>
      </c>
      <c r="AX264" s="3" t="s">
        <v>3397</v>
      </c>
      <c r="AY264" s="3" t="s">
        <v>3398</v>
      </c>
      <c r="AZ264" s="3" t="s">
        <v>75</v>
      </c>
      <c r="BC264" s="3" t="s">
        <v>3401</v>
      </c>
      <c r="BD264" s="3" t="s">
        <v>3402</v>
      </c>
    </row>
    <row r="265" spans="1:56" ht="39" customHeight="1" x14ac:dyDescent="0.25">
      <c r="A265" s="7" t="s">
        <v>58</v>
      </c>
      <c r="B265" s="2" t="s">
        <v>3403</v>
      </c>
      <c r="C265" s="2" t="s">
        <v>3404</v>
      </c>
      <c r="D265" s="2" t="s">
        <v>3405</v>
      </c>
      <c r="E265" s="3" t="s">
        <v>3406</v>
      </c>
      <c r="F265" s="3" t="s">
        <v>132</v>
      </c>
      <c r="G265" s="3" t="s">
        <v>59</v>
      </c>
      <c r="H265" s="3" t="s">
        <v>58</v>
      </c>
      <c r="I265" s="3" t="s">
        <v>58</v>
      </c>
      <c r="J265" s="3" t="s">
        <v>60</v>
      </c>
      <c r="K265" s="2" t="s">
        <v>3407</v>
      </c>
      <c r="L265" s="2" t="s">
        <v>3408</v>
      </c>
      <c r="M265" s="3" t="s">
        <v>544</v>
      </c>
      <c r="O265" s="3" t="s">
        <v>65</v>
      </c>
      <c r="P265" s="3" t="s">
        <v>3409</v>
      </c>
      <c r="R265" s="3" t="s">
        <v>68</v>
      </c>
      <c r="S265" s="4">
        <v>1</v>
      </c>
      <c r="T265" s="4">
        <v>3</v>
      </c>
      <c r="U265" s="5" t="s">
        <v>3410</v>
      </c>
      <c r="V265" s="5" t="s">
        <v>3410</v>
      </c>
      <c r="W265" s="5" t="s">
        <v>3410</v>
      </c>
      <c r="X265" s="5" t="s">
        <v>3410</v>
      </c>
      <c r="Y265" s="4">
        <v>12</v>
      </c>
      <c r="Z265" s="4">
        <v>7</v>
      </c>
      <c r="AA265" s="4">
        <v>7</v>
      </c>
      <c r="AB265" s="4">
        <v>1</v>
      </c>
      <c r="AC265" s="4">
        <v>1</v>
      </c>
      <c r="AD265" s="4">
        <v>5</v>
      </c>
      <c r="AE265" s="4">
        <v>5</v>
      </c>
      <c r="AF265" s="4">
        <v>2</v>
      </c>
      <c r="AG265" s="4">
        <v>2</v>
      </c>
      <c r="AH265" s="4">
        <v>1</v>
      </c>
      <c r="AI265" s="4">
        <v>1</v>
      </c>
      <c r="AJ265" s="4">
        <v>5</v>
      </c>
      <c r="AK265" s="4">
        <v>5</v>
      </c>
      <c r="AL265" s="4">
        <v>0</v>
      </c>
      <c r="AM265" s="4">
        <v>0</v>
      </c>
      <c r="AN265" s="4">
        <v>0</v>
      </c>
      <c r="AO265" s="4">
        <v>0</v>
      </c>
      <c r="AP265" s="3" t="s">
        <v>58</v>
      </c>
      <c r="AQ265" s="3" t="s">
        <v>58</v>
      </c>
      <c r="AS265" s="6" t="str">
        <f>HYPERLINK("https://creighton-primo.hosted.exlibrisgroup.com/primo-explore/search?tab=default_tab&amp;search_scope=EVERYTHING&amp;vid=01CRU&amp;lang=en_US&amp;offset=0&amp;query=any,contains,991003978389702656","Catalog Record")</f>
        <v>Catalog Record</v>
      </c>
      <c r="AT265" s="6" t="str">
        <f>HYPERLINK("http://www.worldcat.org/oclc/43801212","WorldCat Record")</f>
        <v>WorldCat Record</v>
      </c>
      <c r="AU265" s="3" t="s">
        <v>3411</v>
      </c>
      <c r="AV265" s="3" t="s">
        <v>3412</v>
      </c>
      <c r="AW265" s="3" t="s">
        <v>3413</v>
      </c>
      <c r="AX265" s="3" t="s">
        <v>3413</v>
      </c>
      <c r="AY265" s="3" t="s">
        <v>3414</v>
      </c>
      <c r="AZ265" s="3" t="s">
        <v>75</v>
      </c>
      <c r="BB265" s="3" t="s">
        <v>3415</v>
      </c>
      <c r="BC265" s="3" t="s">
        <v>3416</v>
      </c>
      <c r="BD265" s="3" t="s">
        <v>3417</v>
      </c>
    </row>
    <row r="266" spans="1:56" ht="39" customHeight="1" x14ac:dyDescent="0.25">
      <c r="A266" s="7" t="s">
        <v>58</v>
      </c>
      <c r="B266" s="2" t="s">
        <v>3403</v>
      </c>
      <c r="C266" s="2" t="s">
        <v>3404</v>
      </c>
      <c r="D266" s="2" t="s">
        <v>3405</v>
      </c>
      <c r="E266" s="3" t="s">
        <v>3418</v>
      </c>
      <c r="F266" s="3" t="s">
        <v>132</v>
      </c>
      <c r="G266" s="3" t="s">
        <v>59</v>
      </c>
      <c r="H266" s="3" t="s">
        <v>58</v>
      </c>
      <c r="I266" s="3" t="s">
        <v>58</v>
      </c>
      <c r="J266" s="3" t="s">
        <v>60</v>
      </c>
      <c r="K266" s="2" t="s">
        <v>3407</v>
      </c>
      <c r="L266" s="2" t="s">
        <v>3408</v>
      </c>
      <c r="M266" s="3" t="s">
        <v>544</v>
      </c>
      <c r="O266" s="3" t="s">
        <v>65</v>
      </c>
      <c r="P266" s="3" t="s">
        <v>3409</v>
      </c>
      <c r="R266" s="3" t="s">
        <v>68</v>
      </c>
      <c r="S266" s="4">
        <v>1</v>
      </c>
      <c r="T266" s="4">
        <v>3</v>
      </c>
      <c r="U266" s="5" t="s">
        <v>3410</v>
      </c>
      <c r="V266" s="5" t="s">
        <v>3410</v>
      </c>
      <c r="W266" s="5" t="s">
        <v>3410</v>
      </c>
      <c r="X266" s="5" t="s">
        <v>3410</v>
      </c>
      <c r="Y266" s="4">
        <v>12</v>
      </c>
      <c r="Z266" s="4">
        <v>7</v>
      </c>
      <c r="AA266" s="4">
        <v>7</v>
      </c>
      <c r="AB266" s="4">
        <v>1</v>
      </c>
      <c r="AC266" s="4">
        <v>1</v>
      </c>
      <c r="AD266" s="4">
        <v>5</v>
      </c>
      <c r="AE266" s="4">
        <v>5</v>
      </c>
      <c r="AF266" s="4">
        <v>2</v>
      </c>
      <c r="AG266" s="4">
        <v>2</v>
      </c>
      <c r="AH266" s="4">
        <v>1</v>
      </c>
      <c r="AI266" s="4">
        <v>1</v>
      </c>
      <c r="AJ266" s="4">
        <v>5</v>
      </c>
      <c r="AK266" s="4">
        <v>5</v>
      </c>
      <c r="AL266" s="4">
        <v>0</v>
      </c>
      <c r="AM266" s="4">
        <v>0</v>
      </c>
      <c r="AN266" s="4">
        <v>0</v>
      </c>
      <c r="AO266" s="4">
        <v>0</v>
      </c>
      <c r="AP266" s="3" t="s">
        <v>58</v>
      </c>
      <c r="AQ266" s="3" t="s">
        <v>58</v>
      </c>
      <c r="AS266" s="6" t="str">
        <f>HYPERLINK("https://creighton-primo.hosted.exlibrisgroup.com/primo-explore/search?tab=default_tab&amp;search_scope=EVERYTHING&amp;vid=01CRU&amp;lang=en_US&amp;offset=0&amp;query=any,contains,991003978389702656","Catalog Record")</f>
        <v>Catalog Record</v>
      </c>
      <c r="AT266" s="6" t="str">
        <f>HYPERLINK("http://www.worldcat.org/oclc/43801212","WorldCat Record")</f>
        <v>WorldCat Record</v>
      </c>
      <c r="AU266" s="3" t="s">
        <v>3411</v>
      </c>
      <c r="AV266" s="3" t="s">
        <v>3412</v>
      </c>
      <c r="AW266" s="3" t="s">
        <v>3413</v>
      </c>
      <c r="AX266" s="3" t="s">
        <v>3413</v>
      </c>
      <c r="AY266" s="3" t="s">
        <v>3414</v>
      </c>
      <c r="AZ266" s="3" t="s">
        <v>75</v>
      </c>
      <c r="BB266" s="3" t="s">
        <v>3415</v>
      </c>
      <c r="BC266" s="3" t="s">
        <v>3419</v>
      </c>
      <c r="BD266" s="3" t="s">
        <v>3420</v>
      </c>
    </row>
    <row r="267" spans="1:56" ht="39" customHeight="1" x14ac:dyDescent="0.25">
      <c r="A267" s="7" t="s">
        <v>58</v>
      </c>
      <c r="B267" s="2" t="s">
        <v>3403</v>
      </c>
      <c r="C267" s="2" t="s">
        <v>3404</v>
      </c>
      <c r="D267" s="2" t="s">
        <v>3405</v>
      </c>
      <c r="E267" s="3" t="s">
        <v>3421</v>
      </c>
      <c r="F267" s="3" t="s">
        <v>132</v>
      </c>
      <c r="G267" s="3" t="s">
        <v>59</v>
      </c>
      <c r="H267" s="3" t="s">
        <v>58</v>
      </c>
      <c r="I267" s="3" t="s">
        <v>58</v>
      </c>
      <c r="J267" s="3" t="s">
        <v>60</v>
      </c>
      <c r="K267" s="2" t="s">
        <v>3407</v>
      </c>
      <c r="L267" s="2" t="s">
        <v>3408</v>
      </c>
      <c r="M267" s="3" t="s">
        <v>544</v>
      </c>
      <c r="O267" s="3" t="s">
        <v>65</v>
      </c>
      <c r="P267" s="3" t="s">
        <v>3409</v>
      </c>
      <c r="R267" s="3" t="s">
        <v>68</v>
      </c>
      <c r="S267" s="4">
        <v>1</v>
      </c>
      <c r="T267" s="4">
        <v>3</v>
      </c>
      <c r="U267" s="5" t="s">
        <v>3410</v>
      </c>
      <c r="V267" s="5" t="s">
        <v>3410</v>
      </c>
      <c r="W267" s="5" t="s">
        <v>3410</v>
      </c>
      <c r="X267" s="5" t="s">
        <v>3410</v>
      </c>
      <c r="Y267" s="4">
        <v>12</v>
      </c>
      <c r="Z267" s="4">
        <v>7</v>
      </c>
      <c r="AA267" s="4">
        <v>7</v>
      </c>
      <c r="AB267" s="4">
        <v>1</v>
      </c>
      <c r="AC267" s="4">
        <v>1</v>
      </c>
      <c r="AD267" s="4">
        <v>5</v>
      </c>
      <c r="AE267" s="4">
        <v>5</v>
      </c>
      <c r="AF267" s="4">
        <v>2</v>
      </c>
      <c r="AG267" s="4">
        <v>2</v>
      </c>
      <c r="AH267" s="4">
        <v>1</v>
      </c>
      <c r="AI267" s="4">
        <v>1</v>
      </c>
      <c r="AJ267" s="4">
        <v>5</v>
      </c>
      <c r="AK267" s="4">
        <v>5</v>
      </c>
      <c r="AL267" s="4">
        <v>0</v>
      </c>
      <c r="AM267" s="4">
        <v>0</v>
      </c>
      <c r="AN267" s="4">
        <v>0</v>
      </c>
      <c r="AO267" s="4">
        <v>0</v>
      </c>
      <c r="AP267" s="3" t="s">
        <v>58</v>
      </c>
      <c r="AQ267" s="3" t="s">
        <v>58</v>
      </c>
      <c r="AS267" s="6" t="str">
        <f>HYPERLINK("https://creighton-primo.hosted.exlibrisgroup.com/primo-explore/search?tab=default_tab&amp;search_scope=EVERYTHING&amp;vid=01CRU&amp;lang=en_US&amp;offset=0&amp;query=any,contains,991003978389702656","Catalog Record")</f>
        <v>Catalog Record</v>
      </c>
      <c r="AT267" s="6" t="str">
        <f>HYPERLINK("http://www.worldcat.org/oclc/43801212","WorldCat Record")</f>
        <v>WorldCat Record</v>
      </c>
      <c r="AU267" s="3" t="s">
        <v>3411</v>
      </c>
      <c r="AV267" s="3" t="s">
        <v>3412</v>
      </c>
      <c r="AW267" s="3" t="s">
        <v>3413</v>
      </c>
      <c r="AX267" s="3" t="s">
        <v>3413</v>
      </c>
      <c r="AY267" s="3" t="s">
        <v>3414</v>
      </c>
      <c r="AZ267" s="3" t="s">
        <v>75</v>
      </c>
      <c r="BB267" s="3" t="s">
        <v>3415</v>
      </c>
      <c r="BC267" s="3" t="s">
        <v>3422</v>
      </c>
      <c r="BD267" s="3" t="s">
        <v>3423</v>
      </c>
    </row>
    <row r="268" spans="1:56" ht="39" customHeight="1" x14ac:dyDescent="0.25">
      <c r="A268" s="7" t="s">
        <v>58</v>
      </c>
      <c r="B268" s="2" t="s">
        <v>3424</v>
      </c>
      <c r="C268" s="2" t="s">
        <v>3425</v>
      </c>
      <c r="D268" s="2" t="s">
        <v>3426</v>
      </c>
      <c r="F268" s="3" t="s">
        <v>58</v>
      </c>
      <c r="G268" s="3" t="s">
        <v>59</v>
      </c>
      <c r="H268" s="3" t="s">
        <v>58</v>
      </c>
      <c r="I268" s="3" t="s">
        <v>58</v>
      </c>
      <c r="J268" s="3" t="s">
        <v>60</v>
      </c>
      <c r="K268" s="2" t="s">
        <v>3427</v>
      </c>
      <c r="L268" s="2" t="s">
        <v>3428</v>
      </c>
      <c r="M268" s="3" t="s">
        <v>3429</v>
      </c>
      <c r="O268" s="3" t="s">
        <v>65</v>
      </c>
      <c r="P268" s="3" t="s">
        <v>1345</v>
      </c>
      <c r="R268" s="3" t="s">
        <v>68</v>
      </c>
      <c r="S268" s="4">
        <v>2</v>
      </c>
      <c r="T268" s="4">
        <v>2</v>
      </c>
      <c r="U268" s="5" t="s">
        <v>3430</v>
      </c>
      <c r="V268" s="5" t="s">
        <v>3430</v>
      </c>
      <c r="W268" s="5" t="s">
        <v>3291</v>
      </c>
      <c r="X268" s="5" t="s">
        <v>3291</v>
      </c>
      <c r="Y268" s="4">
        <v>28</v>
      </c>
      <c r="Z268" s="4">
        <v>25</v>
      </c>
      <c r="AA268" s="4">
        <v>25</v>
      </c>
      <c r="AB268" s="4">
        <v>1</v>
      </c>
      <c r="AC268" s="4">
        <v>1</v>
      </c>
      <c r="AD268" s="4">
        <v>7</v>
      </c>
      <c r="AE268" s="4">
        <v>7</v>
      </c>
      <c r="AF268" s="4">
        <v>0</v>
      </c>
      <c r="AG268" s="4">
        <v>0</v>
      </c>
      <c r="AH268" s="4">
        <v>1</v>
      </c>
      <c r="AI268" s="4">
        <v>1</v>
      </c>
      <c r="AJ268" s="4">
        <v>6</v>
      </c>
      <c r="AK268" s="4">
        <v>6</v>
      </c>
      <c r="AL268" s="4">
        <v>0</v>
      </c>
      <c r="AM268" s="4">
        <v>0</v>
      </c>
      <c r="AN268" s="4">
        <v>0</v>
      </c>
      <c r="AO268" s="4">
        <v>0</v>
      </c>
      <c r="AP268" s="3" t="s">
        <v>58</v>
      </c>
      <c r="AQ268" s="3" t="s">
        <v>58</v>
      </c>
      <c r="AS268" s="6" t="str">
        <f>HYPERLINK("https://creighton-primo.hosted.exlibrisgroup.com/primo-explore/search?tab=default_tab&amp;search_scope=EVERYTHING&amp;vid=01CRU&amp;lang=en_US&amp;offset=0&amp;query=any,contains,991005118729702656","Catalog Record")</f>
        <v>Catalog Record</v>
      </c>
      <c r="AT268" s="6" t="str">
        <f>HYPERLINK("http://www.worldcat.org/oclc/7471798","WorldCat Record")</f>
        <v>WorldCat Record</v>
      </c>
      <c r="AU268" s="3" t="s">
        <v>3431</v>
      </c>
      <c r="AV268" s="3" t="s">
        <v>3432</v>
      </c>
      <c r="AW268" s="3" t="s">
        <v>3433</v>
      </c>
      <c r="AX268" s="3" t="s">
        <v>3433</v>
      </c>
      <c r="AY268" s="3" t="s">
        <v>3434</v>
      </c>
      <c r="AZ268" s="3" t="s">
        <v>75</v>
      </c>
      <c r="BC268" s="3" t="s">
        <v>3435</v>
      </c>
      <c r="BD268" s="3" t="s">
        <v>3436</v>
      </c>
    </row>
    <row r="269" spans="1:56" ht="39" customHeight="1" x14ac:dyDescent="0.25">
      <c r="A269" s="7" t="s">
        <v>58</v>
      </c>
      <c r="B269" s="2" t="s">
        <v>3437</v>
      </c>
      <c r="C269" s="2" t="s">
        <v>3438</v>
      </c>
      <c r="D269" s="2" t="s">
        <v>3439</v>
      </c>
      <c r="F269" s="3" t="s">
        <v>58</v>
      </c>
      <c r="G269" s="3" t="s">
        <v>59</v>
      </c>
      <c r="H269" s="3" t="s">
        <v>58</v>
      </c>
      <c r="I269" s="3" t="s">
        <v>58</v>
      </c>
      <c r="J269" s="3" t="s">
        <v>60</v>
      </c>
      <c r="K269" s="2" t="s">
        <v>3440</v>
      </c>
      <c r="L269" s="2" t="s">
        <v>3441</v>
      </c>
      <c r="M269" s="3" t="s">
        <v>845</v>
      </c>
      <c r="O269" s="3" t="s">
        <v>1490</v>
      </c>
      <c r="P269" s="3" t="s">
        <v>954</v>
      </c>
      <c r="R269" s="3" t="s">
        <v>68</v>
      </c>
      <c r="S269" s="4">
        <v>5</v>
      </c>
      <c r="T269" s="4">
        <v>5</v>
      </c>
      <c r="U269" s="5" t="s">
        <v>3442</v>
      </c>
      <c r="V269" s="5" t="s">
        <v>3442</v>
      </c>
      <c r="W269" s="5" t="s">
        <v>3291</v>
      </c>
      <c r="X269" s="5" t="s">
        <v>3291</v>
      </c>
      <c r="Y269" s="4">
        <v>131</v>
      </c>
      <c r="Z269" s="4">
        <v>73</v>
      </c>
      <c r="AA269" s="4">
        <v>75</v>
      </c>
      <c r="AB269" s="4">
        <v>1</v>
      </c>
      <c r="AC269" s="4">
        <v>1</v>
      </c>
      <c r="AD269" s="4">
        <v>13</v>
      </c>
      <c r="AE269" s="4">
        <v>13</v>
      </c>
      <c r="AF269" s="4">
        <v>2</v>
      </c>
      <c r="AG269" s="4">
        <v>2</v>
      </c>
      <c r="AH269" s="4">
        <v>5</v>
      </c>
      <c r="AI269" s="4">
        <v>5</v>
      </c>
      <c r="AJ269" s="4">
        <v>11</v>
      </c>
      <c r="AK269" s="4">
        <v>11</v>
      </c>
      <c r="AL269" s="4">
        <v>0</v>
      </c>
      <c r="AM269" s="4">
        <v>0</v>
      </c>
      <c r="AN269" s="4">
        <v>0</v>
      </c>
      <c r="AO269" s="4">
        <v>0</v>
      </c>
      <c r="AP269" s="3" t="s">
        <v>58</v>
      </c>
      <c r="AQ269" s="3" t="s">
        <v>132</v>
      </c>
      <c r="AR269" s="6" t="str">
        <f>HYPERLINK("http://catalog.hathitrust.org/Record/001413143","HathiTrust Record")</f>
        <v>HathiTrust Record</v>
      </c>
      <c r="AS269" s="6" t="str">
        <f>HYPERLINK("https://creighton-primo.hosted.exlibrisgroup.com/primo-explore/search?tab=default_tab&amp;search_scope=EVERYTHING&amp;vid=01CRU&amp;lang=en_US&amp;offset=0&amp;query=any,contains,991003394189702656","Catalog Record")</f>
        <v>Catalog Record</v>
      </c>
      <c r="AT269" s="6" t="str">
        <f>HYPERLINK("http://www.worldcat.org/oclc/932719","WorldCat Record")</f>
        <v>WorldCat Record</v>
      </c>
      <c r="AU269" s="3" t="s">
        <v>3443</v>
      </c>
      <c r="AV269" s="3" t="s">
        <v>3444</v>
      </c>
      <c r="AW269" s="3" t="s">
        <v>3445</v>
      </c>
      <c r="AX269" s="3" t="s">
        <v>3445</v>
      </c>
      <c r="AY269" s="3" t="s">
        <v>3446</v>
      </c>
      <c r="AZ269" s="3" t="s">
        <v>75</v>
      </c>
      <c r="BC269" s="3" t="s">
        <v>3447</v>
      </c>
      <c r="BD269" s="3" t="s">
        <v>3448</v>
      </c>
    </row>
    <row r="270" spans="1:56" ht="39" customHeight="1" x14ac:dyDescent="0.25">
      <c r="A270" s="7" t="s">
        <v>58</v>
      </c>
      <c r="B270" s="2" t="s">
        <v>3449</v>
      </c>
      <c r="C270" s="2" t="s">
        <v>3450</v>
      </c>
      <c r="D270" s="2" t="s">
        <v>3451</v>
      </c>
      <c r="F270" s="3" t="s">
        <v>58</v>
      </c>
      <c r="G270" s="3" t="s">
        <v>59</v>
      </c>
      <c r="H270" s="3" t="s">
        <v>58</v>
      </c>
      <c r="I270" s="3" t="s">
        <v>58</v>
      </c>
      <c r="J270" s="3" t="s">
        <v>60</v>
      </c>
      <c r="K270" s="2" t="s">
        <v>3452</v>
      </c>
      <c r="L270" s="2" t="s">
        <v>3453</v>
      </c>
      <c r="M270" s="3" t="s">
        <v>1302</v>
      </c>
      <c r="O270" s="3" t="s">
        <v>65</v>
      </c>
      <c r="P270" s="3" t="s">
        <v>186</v>
      </c>
      <c r="R270" s="3" t="s">
        <v>68</v>
      </c>
      <c r="S270" s="4">
        <v>7</v>
      </c>
      <c r="T270" s="4">
        <v>7</v>
      </c>
      <c r="U270" s="5" t="s">
        <v>3454</v>
      </c>
      <c r="V270" s="5" t="s">
        <v>3454</v>
      </c>
      <c r="W270" s="5" t="s">
        <v>3455</v>
      </c>
      <c r="X270" s="5" t="s">
        <v>3455</v>
      </c>
      <c r="Y270" s="4">
        <v>158</v>
      </c>
      <c r="Z270" s="4">
        <v>130</v>
      </c>
      <c r="AA270" s="4">
        <v>137</v>
      </c>
      <c r="AB270" s="4">
        <v>1</v>
      </c>
      <c r="AC270" s="4">
        <v>1</v>
      </c>
      <c r="AD270" s="4">
        <v>9</v>
      </c>
      <c r="AE270" s="4">
        <v>9</v>
      </c>
      <c r="AF270" s="4">
        <v>3</v>
      </c>
      <c r="AG270" s="4">
        <v>3</v>
      </c>
      <c r="AH270" s="4">
        <v>3</v>
      </c>
      <c r="AI270" s="4">
        <v>3</v>
      </c>
      <c r="AJ270" s="4">
        <v>6</v>
      </c>
      <c r="AK270" s="4">
        <v>6</v>
      </c>
      <c r="AL270" s="4">
        <v>0</v>
      </c>
      <c r="AM270" s="4">
        <v>0</v>
      </c>
      <c r="AN270" s="4">
        <v>0</v>
      </c>
      <c r="AO270" s="4">
        <v>0</v>
      </c>
      <c r="AP270" s="3" t="s">
        <v>58</v>
      </c>
      <c r="AQ270" s="3" t="s">
        <v>58</v>
      </c>
      <c r="AS270" s="6" t="str">
        <f>HYPERLINK("https://creighton-primo.hosted.exlibrisgroup.com/primo-explore/search?tab=default_tab&amp;search_scope=EVERYTHING&amp;vid=01CRU&amp;lang=en_US&amp;offset=0&amp;query=any,contains,991003841199702656","Catalog Record")</f>
        <v>Catalog Record</v>
      </c>
      <c r="AT270" s="6" t="str">
        <f>HYPERLINK("http://www.worldcat.org/oclc/48851167","WorldCat Record")</f>
        <v>WorldCat Record</v>
      </c>
      <c r="AU270" s="3" t="s">
        <v>3456</v>
      </c>
      <c r="AV270" s="3" t="s">
        <v>3457</v>
      </c>
      <c r="AW270" s="3" t="s">
        <v>3458</v>
      </c>
      <c r="AX270" s="3" t="s">
        <v>3458</v>
      </c>
      <c r="AY270" s="3" t="s">
        <v>3459</v>
      </c>
      <c r="AZ270" s="3" t="s">
        <v>75</v>
      </c>
      <c r="BB270" s="3" t="s">
        <v>3460</v>
      </c>
      <c r="BC270" s="3" t="s">
        <v>3461</v>
      </c>
      <c r="BD270" s="3" t="s">
        <v>3462</v>
      </c>
    </row>
    <row r="271" spans="1:56" ht="39" customHeight="1" x14ac:dyDescent="0.25">
      <c r="A271" s="7" t="s">
        <v>58</v>
      </c>
      <c r="B271" s="2" t="s">
        <v>3463</v>
      </c>
      <c r="C271" s="2" t="s">
        <v>3464</v>
      </c>
      <c r="D271" s="2" t="s">
        <v>3465</v>
      </c>
      <c r="F271" s="3" t="s">
        <v>58</v>
      </c>
      <c r="G271" s="3" t="s">
        <v>59</v>
      </c>
      <c r="H271" s="3" t="s">
        <v>58</v>
      </c>
      <c r="I271" s="3" t="s">
        <v>58</v>
      </c>
      <c r="J271" s="3" t="s">
        <v>60</v>
      </c>
      <c r="K271" s="2" t="s">
        <v>3466</v>
      </c>
      <c r="L271" s="2" t="s">
        <v>3467</v>
      </c>
      <c r="M271" s="3" t="s">
        <v>273</v>
      </c>
      <c r="N271" s="2" t="s">
        <v>3468</v>
      </c>
      <c r="O271" s="3" t="s">
        <v>65</v>
      </c>
      <c r="P271" s="3" t="s">
        <v>477</v>
      </c>
      <c r="R271" s="3" t="s">
        <v>68</v>
      </c>
      <c r="S271" s="4">
        <v>2</v>
      </c>
      <c r="T271" s="4">
        <v>2</v>
      </c>
      <c r="U271" s="5" t="s">
        <v>3469</v>
      </c>
      <c r="V271" s="5" t="s">
        <v>3469</v>
      </c>
      <c r="W271" s="5" t="s">
        <v>3470</v>
      </c>
      <c r="X271" s="5" t="s">
        <v>3470</v>
      </c>
      <c r="Y271" s="4">
        <v>104</v>
      </c>
      <c r="Z271" s="4">
        <v>89</v>
      </c>
      <c r="AA271" s="4">
        <v>250</v>
      </c>
      <c r="AB271" s="4">
        <v>1</v>
      </c>
      <c r="AC271" s="4">
        <v>2</v>
      </c>
      <c r="AD271" s="4">
        <v>2</v>
      </c>
      <c r="AE271" s="4">
        <v>10</v>
      </c>
      <c r="AF271" s="4">
        <v>1</v>
      </c>
      <c r="AG271" s="4">
        <v>5</v>
      </c>
      <c r="AH271" s="4">
        <v>0</v>
      </c>
      <c r="AI271" s="4">
        <v>0</v>
      </c>
      <c r="AJ271" s="4">
        <v>2</v>
      </c>
      <c r="AK271" s="4">
        <v>7</v>
      </c>
      <c r="AL271" s="4">
        <v>0</v>
      </c>
      <c r="AM271" s="4">
        <v>1</v>
      </c>
      <c r="AN271" s="4">
        <v>0</v>
      </c>
      <c r="AO271" s="4">
        <v>0</v>
      </c>
      <c r="AP271" s="3" t="s">
        <v>58</v>
      </c>
      <c r="AQ271" s="3" t="s">
        <v>58</v>
      </c>
      <c r="AS271" s="6" t="str">
        <f>HYPERLINK("https://creighton-primo.hosted.exlibrisgroup.com/primo-explore/search?tab=default_tab&amp;search_scope=EVERYTHING&amp;vid=01CRU&amp;lang=en_US&amp;offset=0&amp;query=any,contains,991005263709702656","Catalog Record")</f>
        <v>Catalog Record</v>
      </c>
      <c r="AT271" s="6" t="str">
        <f>HYPERLINK("http://www.worldcat.org/oclc/30381631","WorldCat Record")</f>
        <v>WorldCat Record</v>
      </c>
      <c r="AU271" s="3" t="s">
        <v>3471</v>
      </c>
      <c r="AV271" s="3" t="s">
        <v>3472</v>
      </c>
      <c r="AW271" s="3" t="s">
        <v>3473</v>
      </c>
      <c r="AX271" s="3" t="s">
        <v>3473</v>
      </c>
      <c r="AY271" s="3" t="s">
        <v>3474</v>
      </c>
      <c r="AZ271" s="3" t="s">
        <v>75</v>
      </c>
      <c r="BB271" s="3" t="s">
        <v>3475</v>
      </c>
      <c r="BC271" s="3" t="s">
        <v>3476</v>
      </c>
      <c r="BD271" s="3" t="s">
        <v>3477</v>
      </c>
    </row>
    <row r="272" spans="1:56" ht="39" customHeight="1" x14ac:dyDescent="0.25">
      <c r="A272" s="7" t="s">
        <v>58</v>
      </c>
      <c r="B272" s="2" t="s">
        <v>3478</v>
      </c>
      <c r="C272" s="2" t="s">
        <v>3479</v>
      </c>
      <c r="D272" s="2" t="s">
        <v>3480</v>
      </c>
      <c r="F272" s="3" t="s">
        <v>58</v>
      </c>
      <c r="G272" s="3" t="s">
        <v>59</v>
      </c>
      <c r="H272" s="3" t="s">
        <v>58</v>
      </c>
      <c r="I272" s="3" t="s">
        <v>58</v>
      </c>
      <c r="J272" s="3" t="s">
        <v>60</v>
      </c>
      <c r="K272" s="2" t="s">
        <v>2394</v>
      </c>
      <c r="L272" s="2" t="s">
        <v>918</v>
      </c>
      <c r="M272" s="3" t="s">
        <v>98</v>
      </c>
      <c r="O272" s="3" t="s">
        <v>65</v>
      </c>
      <c r="P272" s="3" t="s">
        <v>186</v>
      </c>
      <c r="R272" s="3" t="s">
        <v>68</v>
      </c>
      <c r="S272" s="4">
        <v>3</v>
      </c>
      <c r="T272" s="4">
        <v>3</v>
      </c>
      <c r="U272" s="5" t="s">
        <v>3481</v>
      </c>
      <c r="V272" s="5" t="s">
        <v>3481</v>
      </c>
      <c r="W272" s="5" t="s">
        <v>2494</v>
      </c>
      <c r="X272" s="5" t="s">
        <v>2494</v>
      </c>
      <c r="Y272" s="4">
        <v>235</v>
      </c>
      <c r="Z272" s="4">
        <v>215</v>
      </c>
      <c r="AA272" s="4">
        <v>254</v>
      </c>
      <c r="AB272" s="4">
        <v>4</v>
      </c>
      <c r="AC272" s="4">
        <v>4</v>
      </c>
      <c r="AD272" s="4">
        <v>32</v>
      </c>
      <c r="AE272" s="4">
        <v>32</v>
      </c>
      <c r="AF272" s="4">
        <v>9</v>
      </c>
      <c r="AG272" s="4">
        <v>9</v>
      </c>
      <c r="AH272" s="4">
        <v>7</v>
      </c>
      <c r="AI272" s="4">
        <v>7</v>
      </c>
      <c r="AJ272" s="4">
        <v>24</v>
      </c>
      <c r="AK272" s="4">
        <v>24</v>
      </c>
      <c r="AL272" s="4">
        <v>2</v>
      </c>
      <c r="AM272" s="4">
        <v>2</v>
      </c>
      <c r="AN272" s="4">
        <v>0</v>
      </c>
      <c r="AO272" s="4">
        <v>0</v>
      </c>
      <c r="AP272" s="3" t="s">
        <v>58</v>
      </c>
      <c r="AQ272" s="3" t="s">
        <v>58</v>
      </c>
      <c r="AS272" s="6" t="str">
        <f>HYPERLINK("https://creighton-primo.hosted.exlibrisgroup.com/primo-explore/search?tab=default_tab&amp;search_scope=EVERYTHING&amp;vid=01CRU&amp;lang=en_US&amp;offset=0&amp;query=any,contains,991003868369702656","Catalog Record")</f>
        <v>Catalog Record</v>
      </c>
      <c r="AT272" s="6" t="str">
        <f>HYPERLINK("http://www.worldcat.org/oclc/1684630","WorldCat Record")</f>
        <v>WorldCat Record</v>
      </c>
      <c r="AU272" s="3" t="s">
        <v>3482</v>
      </c>
      <c r="AV272" s="3" t="s">
        <v>3483</v>
      </c>
      <c r="AW272" s="3" t="s">
        <v>3484</v>
      </c>
      <c r="AX272" s="3" t="s">
        <v>3484</v>
      </c>
      <c r="AY272" s="3" t="s">
        <v>3485</v>
      </c>
      <c r="AZ272" s="3" t="s">
        <v>75</v>
      </c>
      <c r="BC272" s="3" t="s">
        <v>3486</v>
      </c>
      <c r="BD272" s="3" t="s">
        <v>3487</v>
      </c>
    </row>
    <row r="273" spans="1:56" ht="39" customHeight="1" x14ac:dyDescent="0.25">
      <c r="A273" s="7" t="s">
        <v>58</v>
      </c>
      <c r="B273" s="2" t="s">
        <v>3488</v>
      </c>
      <c r="C273" s="2" t="s">
        <v>3489</v>
      </c>
      <c r="D273" s="2" t="s">
        <v>3490</v>
      </c>
      <c r="F273" s="3" t="s">
        <v>58</v>
      </c>
      <c r="G273" s="3" t="s">
        <v>59</v>
      </c>
      <c r="H273" s="3" t="s">
        <v>58</v>
      </c>
      <c r="I273" s="3" t="s">
        <v>58</v>
      </c>
      <c r="J273" s="3" t="s">
        <v>60</v>
      </c>
      <c r="K273" s="2" t="s">
        <v>2177</v>
      </c>
      <c r="L273" s="2" t="s">
        <v>3491</v>
      </c>
      <c r="M273" s="3" t="s">
        <v>1449</v>
      </c>
      <c r="O273" s="3" t="s">
        <v>65</v>
      </c>
      <c r="P273" s="3" t="s">
        <v>492</v>
      </c>
      <c r="R273" s="3" t="s">
        <v>68</v>
      </c>
      <c r="S273" s="4">
        <v>8</v>
      </c>
      <c r="T273" s="4">
        <v>8</v>
      </c>
      <c r="U273" s="5" t="s">
        <v>3481</v>
      </c>
      <c r="V273" s="5" t="s">
        <v>3481</v>
      </c>
      <c r="W273" s="5" t="s">
        <v>3291</v>
      </c>
      <c r="X273" s="5" t="s">
        <v>3291</v>
      </c>
      <c r="Y273" s="4">
        <v>237</v>
      </c>
      <c r="Z273" s="4">
        <v>218</v>
      </c>
      <c r="AA273" s="4">
        <v>259</v>
      </c>
      <c r="AB273" s="4">
        <v>2</v>
      </c>
      <c r="AC273" s="4">
        <v>2</v>
      </c>
      <c r="AD273" s="4">
        <v>25</v>
      </c>
      <c r="AE273" s="4">
        <v>26</v>
      </c>
      <c r="AF273" s="4">
        <v>6</v>
      </c>
      <c r="AG273" s="4">
        <v>7</v>
      </c>
      <c r="AH273" s="4">
        <v>8</v>
      </c>
      <c r="AI273" s="4">
        <v>8</v>
      </c>
      <c r="AJ273" s="4">
        <v>21</v>
      </c>
      <c r="AK273" s="4">
        <v>22</v>
      </c>
      <c r="AL273" s="4">
        <v>0</v>
      </c>
      <c r="AM273" s="4">
        <v>0</v>
      </c>
      <c r="AN273" s="4">
        <v>0</v>
      </c>
      <c r="AO273" s="4">
        <v>0</v>
      </c>
      <c r="AP273" s="3" t="s">
        <v>58</v>
      </c>
      <c r="AQ273" s="3" t="s">
        <v>58</v>
      </c>
      <c r="AS273" s="6" t="str">
        <f>HYPERLINK("https://creighton-primo.hosted.exlibrisgroup.com/primo-explore/search?tab=default_tab&amp;search_scope=EVERYTHING&amp;vid=01CRU&amp;lang=en_US&amp;offset=0&amp;query=any,contains,991003247369702656","Catalog Record")</f>
        <v>Catalog Record</v>
      </c>
      <c r="AT273" s="6" t="str">
        <f>HYPERLINK("http://www.worldcat.org/oclc/772184","WorldCat Record")</f>
        <v>WorldCat Record</v>
      </c>
      <c r="AU273" s="3" t="s">
        <v>3492</v>
      </c>
      <c r="AV273" s="3" t="s">
        <v>3493</v>
      </c>
      <c r="AW273" s="3" t="s">
        <v>3494</v>
      </c>
      <c r="AX273" s="3" t="s">
        <v>3494</v>
      </c>
      <c r="AY273" s="3" t="s">
        <v>3495</v>
      </c>
      <c r="AZ273" s="3" t="s">
        <v>75</v>
      </c>
      <c r="BC273" s="3" t="s">
        <v>3496</v>
      </c>
      <c r="BD273" s="3" t="s">
        <v>3497</v>
      </c>
    </row>
    <row r="274" spans="1:56" ht="39" customHeight="1" x14ac:dyDescent="0.25">
      <c r="A274" s="7" t="s">
        <v>58</v>
      </c>
      <c r="B274" s="2" t="s">
        <v>3498</v>
      </c>
      <c r="C274" s="2" t="s">
        <v>3499</v>
      </c>
      <c r="D274" s="2" t="s">
        <v>3500</v>
      </c>
      <c r="F274" s="3" t="s">
        <v>58</v>
      </c>
      <c r="G274" s="3" t="s">
        <v>59</v>
      </c>
      <c r="H274" s="3" t="s">
        <v>58</v>
      </c>
      <c r="I274" s="3" t="s">
        <v>58</v>
      </c>
      <c r="J274" s="3" t="s">
        <v>60</v>
      </c>
      <c r="K274" s="2" t="s">
        <v>3501</v>
      </c>
      <c r="L274" s="2" t="s">
        <v>3502</v>
      </c>
      <c r="M274" s="3" t="s">
        <v>966</v>
      </c>
      <c r="O274" s="3" t="s">
        <v>65</v>
      </c>
      <c r="P274" s="3" t="s">
        <v>3503</v>
      </c>
      <c r="R274" s="3" t="s">
        <v>68</v>
      </c>
      <c r="S274" s="4">
        <v>6</v>
      </c>
      <c r="T274" s="4">
        <v>6</v>
      </c>
      <c r="U274" s="5" t="s">
        <v>3504</v>
      </c>
      <c r="V274" s="5" t="s">
        <v>3504</v>
      </c>
      <c r="W274" s="5" t="s">
        <v>3505</v>
      </c>
      <c r="X274" s="5" t="s">
        <v>3505</v>
      </c>
      <c r="Y274" s="4">
        <v>94</v>
      </c>
      <c r="Z274" s="4">
        <v>80</v>
      </c>
      <c r="AA274" s="4">
        <v>80</v>
      </c>
      <c r="AB274" s="4">
        <v>1</v>
      </c>
      <c r="AC274" s="4">
        <v>1</v>
      </c>
      <c r="AD274" s="4">
        <v>7</v>
      </c>
      <c r="AE274" s="4">
        <v>7</v>
      </c>
      <c r="AF274" s="4">
        <v>2</v>
      </c>
      <c r="AG274" s="4">
        <v>2</v>
      </c>
      <c r="AH274" s="4">
        <v>1</v>
      </c>
      <c r="AI274" s="4">
        <v>1</v>
      </c>
      <c r="AJ274" s="4">
        <v>5</v>
      </c>
      <c r="AK274" s="4">
        <v>5</v>
      </c>
      <c r="AL274" s="4">
        <v>0</v>
      </c>
      <c r="AM274" s="4">
        <v>0</v>
      </c>
      <c r="AN274" s="4">
        <v>0</v>
      </c>
      <c r="AO274" s="4">
        <v>0</v>
      </c>
      <c r="AP274" s="3" t="s">
        <v>58</v>
      </c>
      <c r="AQ274" s="3" t="s">
        <v>58</v>
      </c>
      <c r="AS274" s="6" t="str">
        <f>HYPERLINK("https://creighton-primo.hosted.exlibrisgroup.com/primo-explore/search?tab=default_tab&amp;search_scope=EVERYTHING&amp;vid=01CRU&amp;lang=en_US&amp;offset=0&amp;query=any,contains,991002244249702656","Catalog Record")</f>
        <v>Catalog Record</v>
      </c>
      <c r="AT274" s="6" t="str">
        <f>HYPERLINK("http://www.worldcat.org/oclc/28947557","WorldCat Record")</f>
        <v>WorldCat Record</v>
      </c>
      <c r="AU274" s="3" t="s">
        <v>3506</v>
      </c>
      <c r="AV274" s="3" t="s">
        <v>3507</v>
      </c>
      <c r="AW274" s="3" t="s">
        <v>3508</v>
      </c>
      <c r="AX274" s="3" t="s">
        <v>3508</v>
      </c>
      <c r="AY274" s="3" t="s">
        <v>3509</v>
      </c>
      <c r="AZ274" s="3" t="s">
        <v>75</v>
      </c>
      <c r="BB274" s="3" t="s">
        <v>3510</v>
      </c>
      <c r="BC274" s="3" t="s">
        <v>3511</v>
      </c>
      <c r="BD274" s="3" t="s">
        <v>3512</v>
      </c>
    </row>
    <row r="275" spans="1:56" ht="39" customHeight="1" x14ac:dyDescent="0.25">
      <c r="A275" s="7" t="s">
        <v>58</v>
      </c>
      <c r="B275" s="2" t="s">
        <v>3513</v>
      </c>
      <c r="C275" s="2" t="s">
        <v>3514</v>
      </c>
      <c r="D275" s="2" t="s">
        <v>3515</v>
      </c>
      <c r="F275" s="3" t="s">
        <v>58</v>
      </c>
      <c r="G275" s="3" t="s">
        <v>59</v>
      </c>
      <c r="H275" s="3" t="s">
        <v>58</v>
      </c>
      <c r="I275" s="3" t="s">
        <v>58</v>
      </c>
      <c r="J275" s="3" t="s">
        <v>60</v>
      </c>
      <c r="K275" s="2" t="s">
        <v>3516</v>
      </c>
      <c r="L275" s="2" t="s">
        <v>3517</v>
      </c>
      <c r="M275" s="3" t="s">
        <v>361</v>
      </c>
      <c r="O275" s="3" t="s">
        <v>65</v>
      </c>
      <c r="P275" s="3" t="s">
        <v>304</v>
      </c>
      <c r="R275" s="3" t="s">
        <v>68</v>
      </c>
      <c r="S275" s="4">
        <v>4</v>
      </c>
      <c r="T275" s="4">
        <v>4</v>
      </c>
      <c r="U275" s="5" t="s">
        <v>3518</v>
      </c>
      <c r="V275" s="5" t="s">
        <v>3518</v>
      </c>
      <c r="W275" s="5" t="s">
        <v>3291</v>
      </c>
      <c r="X275" s="5" t="s">
        <v>3291</v>
      </c>
      <c r="Y275" s="4">
        <v>154</v>
      </c>
      <c r="Z275" s="4">
        <v>136</v>
      </c>
      <c r="AA275" s="4">
        <v>141</v>
      </c>
      <c r="AB275" s="4">
        <v>3</v>
      </c>
      <c r="AC275" s="4">
        <v>3</v>
      </c>
      <c r="AD275" s="4">
        <v>12</v>
      </c>
      <c r="AE275" s="4">
        <v>12</v>
      </c>
      <c r="AF275" s="4">
        <v>1</v>
      </c>
      <c r="AG275" s="4">
        <v>1</v>
      </c>
      <c r="AH275" s="4">
        <v>3</v>
      </c>
      <c r="AI275" s="4">
        <v>3</v>
      </c>
      <c r="AJ275" s="4">
        <v>9</v>
      </c>
      <c r="AK275" s="4">
        <v>9</v>
      </c>
      <c r="AL275" s="4">
        <v>0</v>
      </c>
      <c r="AM275" s="4">
        <v>0</v>
      </c>
      <c r="AN275" s="4">
        <v>0</v>
      </c>
      <c r="AO275" s="4">
        <v>0</v>
      </c>
      <c r="AP275" s="3" t="s">
        <v>58</v>
      </c>
      <c r="AQ275" s="3" t="s">
        <v>58</v>
      </c>
      <c r="AS275" s="6" t="str">
        <f>HYPERLINK("https://creighton-primo.hosted.exlibrisgroup.com/primo-explore/search?tab=default_tab&amp;search_scope=EVERYTHING&amp;vid=01CRU&amp;lang=en_US&amp;offset=0&amp;query=any,contains,991000137189702656","Catalog Record")</f>
        <v>Catalog Record</v>
      </c>
      <c r="AT275" s="6" t="str">
        <f>HYPERLINK("http://www.worldcat.org/oclc/9138605","WorldCat Record")</f>
        <v>WorldCat Record</v>
      </c>
      <c r="AU275" s="3" t="s">
        <v>3519</v>
      </c>
      <c r="AV275" s="3" t="s">
        <v>3520</v>
      </c>
      <c r="AW275" s="3" t="s">
        <v>3521</v>
      </c>
      <c r="AX275" s="3" t="s">
        <v>3521</v>
      </c>
      <c r="AY275" s="3" t="s">
        <v>3522</v>
      </c>
      <c r="AZ275" s="3" t="s">
        <v>75</v>
      </c>
      <c r="BB275" s="3" t="s">
        <v>3523</v>
      </c>
      <c r="BC275" s="3" t="s">
        <v>3524</v>
      </c>
      <c r="BD275" s="3" t="s">
        <v>3525</v>
      </c>
    </row>
    <row r="276" spans="1:56" ht="39" customHeight="1" x14ac:dyDescent="0.25">
      <c r="A276" s="7" t="s">
        <v>58</v>
      </c>
      <c r="B276" s="2" t="s">
        <v>3526</v>
      </c>
      <c r="C276" s="2" t="s">
        <v>3527</v>
      </c>
      <c r="D276" s="2" t="s">
        <v>3528</v>
      </c>
      <c r="F276" s="3" t="s">
        <v>58</v>
      </c>
      <c r="G276" s="3" t="s">
        <v>59</v>
      </c>
      <c r="H276" s="3" t="s">
        <v>58</v>
      </c>
      <c r="I276" s="3" t="s">
        <v>58</v>
      </c>
      <c r="J276" s="3" t="s">
        <v>60</v>
      </c>
      <c r="K276" s="2" t="s">
        <v>3529</v>
      </c>
      <c r="L276" s="2" t="s">
        <v>3530</v>
      </c>
      <c r="M276" s="3" t="s">
        <v>462</v>
      </c>
      <c r="O276" s="3" t="s">
        <v>65</v>
      </c>
      <c r="P276" s="3" t="s">
        <v>2303</v>
      </c>
      <c r="Q276" s="2" t="s">
        <v>3531</v>
      </c>
      <c r="R276" s="3" t="s">
        <v>68</v>
      </c>
      <c r="S276" s="4">
        <v>5</v>
      </c>
      <c r="T276" s="4">
        <v>5</v>
      </c>
      <c r="U276" s="5" t="s">
        <v>3532</v>
      </c>
      <c r="V276" s="5" t="s">
        <v>3532</v>
      </c>
      <c r="W276" s="5" t="s">
        <v>3291</v>
      </c>
      <c r="X276" s="5" t="s">
        <v>3291</v>
      </c>
      <c r="Y276" s="4">
        <v>110</v>
      </c>
      <c r="Z276" s="4">
        <v>94</v>
      </c>
      <c r="AA276" s="4">
        <v>99</v>
      </c>
      <c r="AB276" s="4">
        <v>1</v>
      </c>
      <c r="AC276" s="4">
        <v>1</v>
      </c>
      <c r="AD276" s="4">
        <v>8</v>
      </c>
      <c r="AE276" s="4">
        <v>8</v>
      </c>
      <c r="AF276" s="4">
        <v>1</v>
      </c>
      <c r="AG276" s="4">
        <v>1</v>
      </c>
      <c r="AH276" s="4">
        <v>3</v>
      </c>
      <c r="AI276" s="4">
        <v>3</v>
      </c>
      <c r="AJ276" s="4">
        <v>6</v>
      </c>
      <c r="AK276" s="4">
        <v>6</v>
      </c>
      <c r="AL276" s="4">
        <v>0</v>
      </c>
      <c r="AM276" s="4">
        <v>0</v>
      </c>
      <c r="AN276" s="4">
        <v>0</v>
      </c>
      <c r="AO276" s="4">
        <v>0</v>
      </c>
      <c r="AP276" s="3" t="s">
        <v>58</v>
      </c>
      <c r="AQ276" s="3" t="s">
        <v>58</v>
      </c>
      <c r="AS276" s="6" t="str">
        <f>HYPERLINK("https://creighton-primo.hosted.exlibrisgroup.com/primo-explore/search?tab=default_tab&amp;search_scope=EVERYTHING&amp;vid=01CRU&amp;lang=en_US&amp;offset=0&amp;query=any,contains,991000477819702656","Catalog Record")</f>
        <v>Catalog Record</v>
      </c>
      <c r="AT276" s="6" t="str">
        <f>HYPERLINK("http://www.worldcat.org/oclc/11040681","WorldCat Record")</f>
        <v>WorldCat Record</v>
      </c>
      <c r="AU276" s="3" t="s">
        <v>3533</v>
      </c>
      <c r="AV276" s="3" t="s">
        <v>3534</v>
      </c>
      <c r="AW276" s="3" t="s">
        <v>3535</v>
      </c>
      <c r="AX276" s="3" t="s">
        <v>3535</v>
      </c>
      <c r="AY276" s="3" t="s">
        <v>3536</v>
      </c>
      <c r="AZ276" s="3" t="s">
        <v>75</v>
      </c>
      <c r="BC276" s="3" t="s">
        <v>3537</v>
      </c>
      <c r="BD276" s="3" t="s">
        <v>3538</v>
      </c>
    </row>
    <row r="277" spans="1:56" ht="39" customHeight="1" x14ac:dyDescent="0.25">
      <c r="A277" s="7" t="s">
        <v>58</v>
      </c>
      <c r="B277" s="2" t="s">
        <v>3539</v>
      </c>
      <c r="C277" s="2" t="s">
        <v>3540</v>
      </c>
      <c r="D277" s="2" t="s">
        <v>3541</v>
      </c>
      <c r="F277" s="3" t="s">
        <v>58</v>
      </c>
      <c r="G277" s="3" t="s">
        <v>59</v>
      </c>
      <c r="H277" s="3" t="s">
        <v>58</v>
      </c>
      <c r="I277" s="3" t="s">
        <v>58</v>
      </c>
      <c r="J277" s="3" t="s">
        <v>60</v>
      </c>
      <c r="K277" s="2" t="s">
        <v>3542</v>
      </c>
      <c r="L277" s="2" t="s">
        <v>3543</v>
      </c>
      <c r="M277" s="3" t="s">
        <v>3544</v>
      </c>
      <c r="O277" s="3" t="s">
        <v>65</v>
      </c>
      <c r="P277" s="3" t="s">
        <v>3202</v>
      </c>
      <c r="R277" s="3" t="s">
        <v>68</v>
      </c>
      <c r="S277" s="4">
        <v>1</v>
      </c>
      <c r="T277" s="4">
        <v>1</v>
      </c>
      <c r="U277" s="5" t="s">
        <v>3430</v>
      </c>
      <c r="V277" s="5" t="s">
        <v>3430</v>
      </c>
      <c r="W277" s="5" t="s">
        <v>3291</v>
      </c>
      <c r="X277" s="5" t="s">
        <v>3291</v>
      </c>
      <c r="Y277" s="4">
        <v>151</v>
      </c>
      <c r="Z277" s="4">
        <v>132</v>
      </c>
      <c r="AA277" s="4">
        <v>134</v>
      </c>
      <c r="AB277" s="4">
        <v>3</v>
      </c>
      <c r="AC277" s="4">
        <v>3</v>
      </c>
      <c r="AD277" s="4">
        <v>23</v>
      </c>
      <c r="AE277" s="4">
        <v>23</v>
      </c>
      <c r="AF277" s="4">
        <v>5</v>
      </c>
      <c r="AG277" s="4">
        <v>5</v>
      </c>
      <c r="AH277" s="4">
        <v>6</v>
      </c>
      <c r="AI277" s="4">
        <v>6</v>
      </c>
      <c r="AJ277" s="4">
        <v>16</v>
      </c>
      <c r="AK277" s="4">
        <v>16</v>
      </c>
      <c r="AL277" s="4">
        <v>1</v>
      </c>
      <c r="AM277" s="4">
        <v>1</v>
      </c>
      <c r="AN277" s="4">
        <v>0</v>
      </c>
      <c r="AO277" s="4">
        <v>0</v>
      </c>
      <c r="AP277" s="3" t="s">
        <v>58</v>
      </c>
      <c r="AQ277" s="3" t="s">
        <v>58</v>
      </c>
      <c r="AS277" s="6" t="str">
        <f>HYPERLINK("https://creighton-primo.hosted.exlibrisgroup.com/primo-explore/search?tab=default_tab&amp;search_scope=EVERYTHING&amp;vid=01CRU&amp;lang=en_US&amp;offset=0&amp;query=any,contains,991004405049702656","Catalog Record")</f>
        <v>Catalog Record</v>
      </c>
      <c r="AT277" s="6" t="str">
        <f>HYPERLINK("http://www.worldcat.org/oclc/3318045","WorldCat Record")</f>
        <v>WorldCat Record</v>
      </c>
      <c r="AU277" s="3" t="s">
        <v>3545</v>
      </c>
      <c r="AV277" s="3" t="s">
        <v>3546</v>
      </c>
      <c r="AW277" s="3" t="s">
        <v>3547</v>
      </c>
      <c r="AX277" s="3" t="s">
        <v>3547</v>
      </c>
      <c r="AY277" s="3" t="s">
        <v>3548</v>
      </c>
      <c r="AZ277" s="3" t="s">
        <v>75</v>
      </c>
      <c r="BC277" s="3" t="s">
        <v>3549</v>
      </c>
      <c r="BD277" s="3" t="s">
        <v>3550</v>
      </c>
    </row>
    <row r="278" spans="1:56" ht="39" customHeight="1" x14ac:dyDescent="0.25">
      <c r="A278" s="7" t="s">
        <v>58</v>
      </c>
      <c r="B278" s="2" t="s">
        <v>3551</v>
      </c>
      <c r="C278" s="2" t="s">
        <v>3552</v>
      </c>
      <c r="D278" s="2" t="s">
        <v>3553</v>
      </c>
      <c r="F278" s="3" t="s">
        <v>58</v>
      </c>
      <c r="G278" s="3" t="s">
        <v>59</v>
      </c>
      <c r="H278" s="3" t="s">
        <v>58</v>
      </c>
      <c r="I278" s="3" t="s">
        <v>58</v>
      </c>
      <c r="J278" s="3" t="s">
        <v>60</v>
      </c>
      <c r="K278" s="2" t="s">
        <v>3554</v>
      </c>
      <c r="L278" s="2" t="s">
        <v>3555</v>
      </c>
      <c r="M278" s="3" t="s">
        <v>3556</v>
      </c>
      <c r="O278" s="3" t="s">
        <v>65</v>
      </c>
      <c r="P278" s="3" t="s">
        <v>1345</v>
      </c>
      <c r="R278" s="3" t="s">
        <v>68</v>
      </c>
      <c r="S278" s="4">
        <v>1</v>
      </c>
      <c r="T278" s="4">
        <v>1</v>
      </c>
      <c r="U278" s="5" t="s">
        <v>3557</v>
      </c>
      <c r="V278" s="5" t="s">
        <v>3557</v>
      </c>
      <c r="W278" s="5" t="s">
        <v>3291</v>
      </c>
      <c r="X278" s="5" t="s">
        <v>3291</v>
      </c>
      <c r="Y278" s="4">
        <v>98</v>
      </c>
      <c r="Z278" s="4">
        <v>83</v>
      </c>
      <c r="AA278" s="4">
        <v>87</v>
      </c>
      <c r="AB278" s="4">
        <v>2</v>
      </c>
      <c r="AC278" s="4">
        <v>2</v>
      </c>
      <c r="AD278" s="4">
        <v>13</v>
      </c>
      <c r="AE278" s="4">
        <v>13</v>
      </c>
      <c r="AF278" s="4">
        <v>1</v>
      </c>
      <c r="AG278" s="4">
        <v>1</v>
      </c>
      <c r="AH278" s="4">
        <v>4</v>
      </c>
      <c r="AI278" s="4">
        <v>4</v>
      </c>
      <c r="AJ278" s="4">
        <v>10</v>
      </c>
      <c r="AK278" s="4">
        <v>10</v>
      </c>
      <c r="AL278" s="4">
        <v>0</v>
      </c>
      <c r="AM278" s="4">
        <v>0</v>
      </c>
      <c r="AN278" s="4">
        <v>0</v>
      </c>
      <c r="AO278" s="4">
        <v>0</v>
      </c>
      <c r="AP278" s="3" t="s">
        <v>58</v>
      </c>
      <c r="AQ278" s="3" t="s">
        <v>58</v>
      </c>
      <c r="AS278" s="6" t="str">
        <f>HYPERLINK("https://creighton-primo.hosted.exlibrisgroup.com/primo-explore/search?tab=default_tab&amp;search_scope=EVERYTHING&amp;vid=01CRU&amp;lang=en_US&amp;offset=0&amp;query=any,contains,991004227069702656","Catalog Record")</f>
        <v>Catalog Record</v>
      </c>
      <c r="AT278" s="6" t="str">
        <f>HYPERLINK("http://www.worldcat.org/oclc/2734844","WorldCat Record")</f>
        <v>WorldCat Record</v>
      </c>
      <c r="AU278" s="3" t="s">
        <v>3558</v>
      </c>
      <c r="AV278" s="3" t="s">
        <v>3559</v>
      </c>
      <c r="AW278" s="3" t="s">
        <v>3560</v>
      </c>
      <c r="AX278" s="3" t="s">
        <v>3560</v>
      </c>
      <c r="AY278" s="3" t="s">
        <v>3561</v>
      </c>
      <c r="AZ278" s="3" t="s">
        <v>75</v>
      </c>
      <c r="BC278" s="3" t="s">
        <v>3562</v>
      </c>
      <c r="BD278" s="3" t="s">
        <v>3563</v>
      </c>
    </row>
    <row r="279" spans="1:56" ht="39" customHeight="1" x14ac:dyDescent="0.25">
      <c r="A279" s="7" t="s">
        <v>58</v>
      </c>
      <c r="B279" s="2" t="s">
        <v>3564</v>
      </c>
      <c r="C279" s="2" t="s">
        <v>3565</v>
      </c>
      <c r="D279" s="2" t="s">
        <v>3566</v>
      </c>
      <c r="F279" s="3" t="s">
        <v>58</v>
      </c>
      <c r="G279" s="3" t="s">
        <v>59</v>
      </c>
      <c r="H279" s="3" t="s">
        <v>58</v>
      </c>
      <c r="I279" s="3" t="s">
        <v>58</v>
      </c>
      <c r="J279" s="3" t="s">
        <v>60</v>
      </c>
      <c r="K279" s="2" t="s">
        <v>3567</v>
      </c>
      <c r="L279" s="2" t="s">
        <v>3568</v>
      </c>
      <c r="M279" s="3" t="s">
        <v>1936</v>
      </c>
      <c r="O279" s="3" t="s">
        <v>65</v>
      </c>
      <c r="P279" s="3" t="s">
        <v>967</v>
      </c>
      <c r="Q279" s="2" t="s">
        <v>3569</v>
      </c>
      <c r="R279" s="3" t="s">
        <v>68</v>
      </c>
      <c r="S279" s="4">
        <v>5</v>
      </c>
      <c r="T279" s="4">
        <v>5</v>
      </c>
      <c r="U279" s="5" t="s">
        <v>3570</v>
      </c>
      <c r="V279" s="5" t="s">
        <v>3570</v>
      </c>
      <c r="W279" s="5" t="s">
        <v>3291</v>
      </c>
      <c r="X279" s="5" t="s">
        <v>3291</v>
      </c>
      <c r="Y279" s="4">
        <v>32</v>
      </c>
      <c r="Z279" s="4">
        <v>32</v>
      </c>
      <c r="AA279" s="4">
        <v>32</v>
      </c>
      <c r="AB279" s="4">
        <v>1</v>
      </c>
      <c r="AC279" s="4">
        <v>1</v>
      </c>
      <c r="AD279" s="4">
        <v>4</v>
      </c>
      <c r="AE279" s="4">
        <v>4</v>
      </c>
      <c r="AF279" s="4">
        <v>1</v>
      </c>
      <c r="AG279" s="4">
        <v>1</v>
      </c>
      <c r="AH279" s="4">
        <v>1</v>
      </c>
      <c r="AI279" s="4">
        <v>1</v>
      </c>
      <c r="AJ279" s="4">
        <v>3</v>
      </c>
      <c r="AK279" s="4">
        <v>3</v>
      </c>
      <c r="AL279" s="4">
        <v>0</v>
      </c>
      <c r="AM279" s="4">
        <v>0</v>
      </c>
      <c r="AN279" s="4">
        <v>0</v>
      </c>
      <c r="AO279" s="4">
        <v>0</v>
      </c>
      <c r="AP279" s="3" t="s">
        <v>58</v>
      </c>
      <c r="AQ279" s="3" t="s">
        <v>58</v>
      </c>
      <c r="AS279" s="6" t="str">
        <f>HYPERLINK("https://creighton-primo.hosted.exlibrisgroup.com/primo-explore/search?tab=default_tab&amp;search_scope=EVERYTHING&amp;vid=01CRU&amp;lang=en_US&amp;offset=0&amp;query=any,contains,991004602379702656","Catalog Record")</f>
        <v>Catalog Record</v>
      </c>
      <c r="AT279" s="6" t="str">
        <f>HYPERLINK("http://www.worldcat.org/oclc/4181446","WorldCat Record")</f>
        <v>WorldCat Record</v>
      </c>
      <c r="AU279" s="3" t="s">
        <v>3571</v>
      </c>
      <c r="AV279" s="3" t="s">
        <v>3572</v>
      </c>
      <c r="AW279" s="3" t="s">
        <v>3573</v>
      </c>
      <c r="AX279" s="3" t="s">
        <v>3573</v>
      </c>
      <c r="AY279" s="3" t="s">
        <v>3574</v>
      </c>
      <c r="AZ279" s="3" t="s">
        <v>75</v>
      </c>
      <c r="BC279" s="3" t="s">
        <v>3575</v>
      </c>
      <c r="BD279" s="3" t="s">
        <v>3576</v>
      </c>
    </row>
    <row r="280" spans="1:56" ht="39" customHeight="1" x14ac:dyDescent="0.25">
      <c r="A280" s="7" t="s">
        <v>58</v>
      </c>
      <c r="B280" s="2" t="s">
        <v>3577</v>
      </c>
      <c r="C280" s="2" t="s">
        <v>3578</v>
      </c>
      <c r="D280" s="2" t="s">
        <v>3579</v>
      </c>
      <c r="F280" s="3" t="s">
        <v>58</v>
      </c>
      <c r="G280" s="3" t="s">
        <v>59</v>
      </c>
      <c r="H280" s="3" t="s">
        <v>58</v>
      </c>
      <c r="I280" s="3" t="s">
        <v>58</v>
      </c>
      <c r="J280" s="3" t="s">
        <v>60</v>
      </c>
      <c r="K280" s="2" t="s">
        <v>3580</v>
      </c>
      <c r="L280" s="2" t="s">
        <v>3581</v>
      </c>
      <c r="M280" s="3" t="s">
        <v>544</v>
      </c>
      <c r="O280" s="3" t="s">
        <v>65</v>
      </c>
      <c r="P280" s="3" t="s">
        <v>186</v>
      </c>
      <c r="R280" s="3" t="s">
        <v>68</v>
      </c>
      <c r="S280" s="4">
        <v>2</v>
      </c>
      <c r="T280" s="4">
        <v>2</v>
      </c>
      <c r="U280" s="5" t="s">
        <v>3582</v>
      </c>
      <c r="V280" s="5" t="s">
        <v>3582</v>
      </c>
      <c r="W280" s="5" t="s">
        <v>3583</v>
      </c>
      <c r="X280" s="5" t="s">
        <v>3583</v>
      </c>
      <c r="Y280" s="4">
        <v>153</v>
      </c>
      <c r="Z280" s="4">
        <v>141</v>
      </c>
      <c r="AA280" s="4">
        <v>155</v>
      </c>
      <c r="AB280" s="4">
        <v>3</v>
      </c>
      <c r="AC280" s="4">
        <v>3</v>
      </c>
      <c r="AD280" s="4">
        <v>10</v>
      </c>
      <c r="AE280" s="4">
        <v>10</v>
      </c>
      <c r="AF280" s="4">
        <v>3</v>
      </c>
      <c r="AG280" s="4">
        <v>3</v>
      </c>
      <c r="AH280" s="4">
        <v>2</v>
      </c>
      <c r="AI280" s="4">
        <v>2</v>
      </c>
      <c r="AJ280" s="4">
        <v>5</v>
      </c>
      <c r="AK280" s="4">
        <v>5</v>
      </c>
      <c r="AL280" s="4">
        <v>1</v>
      </c>
      <c r="AM280" s="4">
        <v>1</v>
      </c>
      <c r="AN280" s="4">
        <v>0</v>
      </c>
      <c r="AO280" s="4">
        <v>0</v>
      </c>
      <c r="AP280" s="3" t="s">
        <v>58</v>
      </c>
      <c r="AQ280" s="3" t="s">
        <v>58</v>
      </c>
      <c r="AS280" s="6" t="str">
        <f>HYPERLINK("https://creighton-primo.hosted.exlibrisgroup.com/primo-explore/search?tab=default_tab&amp;search_scope=EVERYTHING&amp;vid=01CRU&amp;lang=en_US&amp;offset=0&amp;query=any,contains,991005430269702656","Catalog Record")</f>
        <v>Catalog Record</v>
      </c>
      <c r="AT280" s="6" t="str">
        <f>HYPERLINK("http://www.worldcat.org/oclc/41156536","WorldCat Record")</f>
        <v>WorldCat Record</v>
      </c>
      <c r="AU280" s="3" t="s">
        <v>3584</v>
      </c>
      <c r="AV280" s="3" t="s">
        <v>3585</v>
      </c>
      <c r="AW280" s="3" t="s">
        <v>3586</v>
      </c>
      <c r="AX280" s="3" t="s">
        <v>3586</v>
      </c>
      <c r="AY280" s="3" t="s">
        <v>3587</v>
      </c>
      <c r="AZ280" s="3" t="s">
        <v>75</v>
      </c>
      <c r="BB280" s="3" t="s">
        <v>3588</v>
      </c>
      <c r="BC280" s="3" t="s">
        <v>3589</v>
      </c>
      <c r="BD280" s="3" t="s">
        <v>3590</v>
      </c>
    </row>
    <row r="281" spans="1:56" ht="39" customHeight="1" x14ac:dyDescent="0.25">
      <c r="A281" s="7" t="s">
        <v>58</v>
      </c>
      <c r="B281" s="2" t="s">
        <v>3591</v>
      </c>
      <c r="C281" s="2" t="s">
        <v>3592</v>
      </c>
      <c r="D281" s="2" t="s">
        <v>3593</v>
      </c>
      <c r="F281" s="3" t="s">
        <v>58</v>
      </c>
      <c r="G281" s="3" t="s">
        <v>59</v>
      </c>
      <c r="H281" s="3" t="s">
        <v>58</v>
      </c>
      <c r="I281" s="3" t="s">
        <v>58</v>
      </c>
      <c r="J281" s="3" t="s">
        <v>60</v>
      </c>
      <c r="K281" s="2" t="s">
        <v>3594</v>
      </c>
      <c r="L281" s="2" t="s">
        <v>3595</v>
      </c>
      <c r="M281" s="3" t="s">
        <v>2179</v>
      </c>
      <c r="N281" s="2" t="s">
        <v>2831</v>
      </c>
      <c r="O281" s="3" t="s">
        <v>65</v>
      </c>
      <c r="P281" s="3" t="s">
        <v>186</v>
      </c>
      <c r="R281" s="3" t="s">
        <v>68</v>
      </c>
      <c r="S281" s="4">
        <v>3</v>
      </c>
      <c r="T281" s="4">
        <v>3</v>
      </c>
      <c r="U281" s="5" t="s">
        <v>3596</v>
      </c>
      <c r="V281" s="5" t="s">
        <v>3596</v>
      </c>
      <c r="W281" s="5" t="s">
        <v>2069</v>
      </c>
      <c r="X281" s="5" t="s">
        <v>2069</v>
      </c>
      <c r="Y281" s="4">
        <v>263</v>
      </c>
      <c r="Z281" s="4">
        <v>242</v>
      </c>
      <c r="AA281" s="4">
        <v>397</v>
      </c>
      <c r="AB281" s="4">
        <v>2</v>
      </c>
      <c r="AC281" s="4">
        <v>3</v>
      </c>
      <c r="AD281" s="4">
        <v>24</v>
      </c>
      <c r="AE281" s="4">
        <v>29</v>
      </c>
      <c r="AF281" s="4">
        <v>8</v>
      </c>
      <c r="AG281" s="4">
        <v>11</v>
      </c>
      <c r="AH281" s="4">
        <v>5</v>
      </c>
      <c r="AI281" s="4">
        <v>5</v>
      </c>
      <c r="AJ281" s="4">
        <v>19</v>
      </c>
      <c r="AK281" s="4">
        <v>22</v>
      </c>
      <c r="AL281" s="4">
        <v>0</v>
      </c>
      <c r="AM281" s="4">
        <v>0</v>
      </c>
      <c r="AN281" s="4">
        <v>0</v>
      </c>
      <c r="AO281" s="4">
        <v>0</v>
      </c>
      <c r="AP281" s="3" t="s">
        <v>58</v>
      </c>
      <c r="AQ281" s="3" t="s">
        <v>132</v>
      </c>
      <c r="AR281" s="6" t="str">
        <f>HYPERLINK("http://catalog.hathitrust.org/Record/006633717","HathiTrust Record")</f>
        <v>HathiTrust Record</v>
      </c>
      <c r="AS281" s="6" t="str">
        <f>HYPERLINK("https://creighton-primo.hosted.exlibrisgroup.com/primo-explore/search?tab=default_tab&amp;search_scope=EVERYTHING&amp;vid=01CRU&amp;lang=en_US&amp;offset=0&amp;query=any,contains,991003251279702656","Catalog Record")</f>
        <v>Catalog Record</v>
      </c>
      <c r="AT281" s="6" t="str">
        <f>HYPERLINK("http://www.worldcat.org/oclc/776112","WorldCat Record")</f>
        <v>WorldCat Record</v>
      </c>
      <c r="AU281" s="3" t="s">
        <v>3597</v>
      </c>
      <c r="AV281" s="3" t="s">
        <v>3598</v>
      </c>
      <c r="AW281" s="3" t="s">
        <v>3599</v>
      </c>
      <c r="AX281" s="3" t="s">
        <v>3599</v>
      </c>
      <c r="AY281" s="3" t="s">
        <v>3600</v>
      </c>
      <c r="AZ281" s="3" t="s">
        <v>75</v>
      </c>
      <c r="BC281" s="3" t="s">
        <v>3601</v>
      </c>
      <c r="BD281" s="3" t="s">
        <v>3602</v>
      </c>
    </row>
    <row r="282" spans="1:56" ht="39" customHeight="1" x14ac:dyDescent="0.25">
      <c r="A282" s="7" t="s">
        <v>58</v>
      </c>
      <c r="B282" s="2" t="s">
        <v>3603</v>
      </c>
      <c r="C282" s="2" t="s">
        <v>3604</v>
      </c>
      <c r="D282" s="2" t="s">
        <v>3605</v>
      </c>
      <c r="F282" s="3" t="s">
        <v>58</v>
      </c>
      <c r="G282" s="3" t="s">
        <v>59</v>
      </c>
      <c r="H282" s="3" t="s">
        <v>58</v>
      </c>
      <c r="I282" s="3" t="s">
        <v>58</v>
      </c>
      <c r="J282" s="3" t="s">
        <v>60</v>
      </c>
      <c r="K282" s="2" t="s">
        <v>3341</v>
      </c>
      <c r="L282" s="2" t="s">
        <v>2930</v>
      </c>
      <c r="M282" s="3" t="s">
        <v>439</v>
      </c>
      <c r="O282" s="3" t="s">
        <v>65</v>
      </c>
      <c r="P282" s="3" t="s">
        <v>186</v>
      </c>
      <c r="Q282" s="2" t="s">
        <v>3606</v>
      </c>
      <c r="R282" s="3" t="s">
        <v>68</v>
      </c>
      <c r="S282" s="4">
        <v>3</v>
      </c>
      <c r="T282" s="4">
        <v>3</v>
      </c>
      <c r="U282" s="5" t="s">
        <v>3607</v>
      </c>
      <c r="V282" s="5" t="s">
        <v>3607</v>
      </c>
      <c r="W282" s="5" t="s">
        <v>3291</v>
      </c>
      <c r="X282" s="5" t="s">
        <v>3291</v>
      </c>
      <c r="Y282" s="4">
        <v>297</v>
      </c>
      <c r="Z282" s="4">
        <v>252</v>
      </c>
      <c r="AA282" s="4">
        <v>252</v>
      </c>
      <c r="AB282" s="4">
        <v>2</v>
      </c>
      <c r="AC282" s="4">
        <v>2</v>
      </c>
      <c r="AD282" s="4">
        <v>32</v>
      </c>
      <c r="AE282" s="4">
        <v>32</v>
      </c>
      <c r="AF282" s="4">
        <v>12</v>
      </c>
      <c r="AG282" s="4">
        <v>12</v>
      </c>
      <c r="AH282" s="4">
        <v>8</v>
      </c>
      <c r="AI282" s="4">
        <v>8</v>
      </c>
      <c r="AJ282" s="4">
        <v>23</v>
      </c>
      <c r="AK282" s="4">
        <v>23</v>
      </c>
      <c r="AL282" s="4">
        <v>0</v>
      </c>
      <c r="AM282" s="4">
        <v>0</v>
      </c>
      <c r="AN282" s="4">
        <v>0</v>
      </c>
      <c r="AO282" s="4">
        <v>0</v>
      </c>
      <c r="AP282" s="3" t="s">
        <v>58</v>
      </c>
      <c r="AQ282" s="3" t="s">
        <v>58</v>
      </c>
      <c r="AS282" s="6" t="str">
        <f>HYPERLINK("https://creighton-primo.hosted.exlibrisgroup.com/primo-explore/search?tab=default_tab&amp;search_scope=EVERYTHING&amp;vid=01CRU&amp;lang=en_US&amp;offset=0&amp;query=any,contains,991005030409702656","Catalog Record")</f>
        <v>Catalog Record</v>
      </c>
      <c r="AT282" s="6" t="str">
        <f>HYPERLINK("http://www.worldcat.org/oclc/6709377","WorldCat Record")</f>
        <v>WorldCat Record</v>
      </c>
      <c r="AU282" s="3" t="s">
        <v>3608</v>
      </c>
      <c r="AV282" s="3" t="s">
        <v>3609</v>
      </c>
      <c r="AW282" s="3" t="s">
        <v>3610</v>
      </c>
      <c r="AX282" s="3" t="s">
        <v>3610</v>
      </c>
      <c r="AY282" s="3" t="s">
        <v>3611</v>
      </c>
      <c r="AZ282" s="3" t="s">
        <v>75</v>
      </c>
      <c r="BB282" s="3" t="s">
        <v>3612</v>
      </c>
      <c r="BC282" s="3" t="s">
        <v>3613</v>
      </c>
      <c r="BD282" s="3" t="s">
        <v>3614</v>
      </c>
    </row>
    <row r="283" spans="1:56" ht="39" customHeight="1" x14ac:dyDescent="0.25">
      <c r="A283" s="7" t="s">
        <v>58</v>
      </c>
      <c r="B283" s="2" t="s">
        <v>3615</v>
      </c>
      <c r="C283" s="2" t="s">
        <v>3616</v>
      </c>
      <c r="D283" s="2" t="s">
        <v>3617</v>
      </c>
      <c r="F283" s="3" t="s">
        <v>58</v>
      </c>
      <c r="G283" s="3" t="s">
        <v>59</v>
      </c>
      <c r="H283" s="3" t="s">
        <v>58</v>
      </c>
      <c r="I283" s="3" t="s">
        <v>58</v>
      </c>
      <c r="J283" s="3" t="s">
        <v>60</v>
      </c>
      <c r="L283" s="2" t="s">
        <v>3618</v>
      </c>
      <c r="M283" s="3" t="s">
        <v>759</v>
      </c>
      <c r="O283" s="3" t="s">
        <v>65</v>
      </c>
      <c r="P283" s="3" t="s">
        <v>186</v>
      </c>
      <c r="R283" s="3" t="s">
        <v>68</v>
      </c>
      <c r="S283" s="4">
        <v>3</v>
      </c>
      <c r="T283" s="4">
        <v>3</v>
      </c>
      <c r="U283" s="5" t="s">
        <v>3619</v>
      </c>
      <c r="V283" s="5" t="s">
        <v>3619</v>
      </c>
      <c r="W283" s="5" t="s">
        <v>3291</v>
      </c>
      <c r="X283" s="5" t="s">
        <v>3291</v>
      </c>
      <c r="Y283" s="4">
        <v>294</v>
      </c>
      <c r="Z283" s="4">
        <v>265</v>
      </c>
      <c r="AA283" s="4">
        <v>320</v>
      </c>
      <c r="AB283" s="4">
        <v>1</v>
      </c>
      <c r="AC283" s="4">
        <v>1</v>
      </c>
      <c r="AD283" s="4">
        <v>8</v>
      </c>
      <c r="AE283" s="4">
        <v>13</v>
      </c>
      <c r="AF283" s="4">
        <v>2</v>
      </c>
      <c r="AG283" s="4">
        <v>4</v>
      </c>
      <c r="AH283" s="4">
        <v>3</v>
      </c>
      <c r="AI283" s="4">
        <v>3</v>
      </c>
      <c r="AJ283" s="4">
        <v>6</v>
      </c>
      <c r="AK283" s="4">
        <v>9</v>
      </c>
      <c r="AL283" s="4">
        <v>0</v>
      </c>
      <c r="AM283" s="4">
        <v>0</v>
      </c>
      <c r="AN283" s="4">
        <v>0</v>
      </c>
      <c r="AO283" s="4">
        <v>0</v>
      </c>
      <c r="AP283" s="3" t="s">
        <v>58</v>
      </c>
      <c r="AQ283" s="3" t="s">
        <v>58</v>
      </c>
      <c r="AS283" s="6" t="str">
        <f>HYPERLINK("https://creighton-primo.hosted.exlibrisgroup.com/primo-explore/search?tab=default_tab&amp;search_scope=EVERYTHING&amp;vid=01CRU&amp;lang=en_US&amp;offset=0&amp;query=any,contains,991001162799702656","Catalog Record")</f>
        <v>Catalog Record</v>
      </c>
      <c r="AT283" s="6" t="str">
        <f>HYPERLINK("http://www.worldcat.org/oclc/16901310","WorldCat Record")</f>
        <v>WorldCat Record</v>
      </c>
      <c r="AU283" s="3" t="s">
        <v>3620</v>
      </c>
      <c r="AV283" s="3" t="s">
        <v>3621</v>
      </c>
      <c r="AW283" s="3" t="s">
        <v>3622</v>
      </c>
      <c r="AX283" s="3" t="s">
        <v>3622</v>
      </c>
      <c r="AY283" s="3" t="s">
        <v>3623</v>
      </c>
      <c r="AZ283" s="3" t="s">
        <v>75</v>
      </c>
      <c r="BB283" s="3" t="s">
        <v>3624</v>
      </c>
      <c r="BC283" s="3" t="s">
        <v>3625</v>
      </c>
      <c r="BD283" s="3" t="s">
        <v>3626</v>
      </c>
    </row>
    <row r="284" spans="1:56" ht="39" customHeight="1" x14ac:dyDescent="0.25">
      <c r="A284" s="7" t="s">
        <v>58</v>
      </c>
      <c r="B284" s="2" t="s">
        <v>3627</v>
      </c>
      <c r="C284" s="2" t="s">
        <v>3628</v>
      </c>
      <c r="D284" s="2" t="s">
        <v>3629</v>
      </c>
      <c r="F284" s="3" t="s">
        <v>58</v>
      </c>
      <c r="G284" s="3" t="s">
        <v>59</v>
      </c>
      <c r="H284" s="3" t="s">
        <v>58</v>
      </c>
      <c r="I284" s="3" t="s">
        <v>132</v>
      </c>
      <c r="J284" s="3" t="s">
        <v>60</v>
      </c>
      <c r="K284" s="2" t="s">
        <v>3630</v>
      </c>
      <c r="L284" s="2" t="s">
        <v>3631</v>
      </c>
      <c r="M284" s="3" t="s">
        <v>157</v>
      </c>
      <c r="O284" s="3" t="s">
        <v>65</v>
      </c>
      <c r="P284" s="3" t="s">
        <v>477</v>
      </c>
      <c r="R284" s="3" t="s">
        <v>68</v>
      </c>
      <c r="S284" s="4">
        <v>1</v>
      </c>
      <c r="T284" s="4">
        <v>1</v>
      </c>
      <c r="U284" s="5" t="s">
        <v>3632</v>
      </c>
      <c r="V284" s="5" t="s">
        <v>3632</v>
      </c>
      <c r="W284" s="5" t="s">
        <v>3632</v>
      </c>
      <c r="X284" s="5" t="s">
        <v>3632</v>
      </c>
      <c r="Y284" s="4">
        <v>32</v>
      </c>
      <c r="Z284" s="4">
        <v>32</v>
      </c>
      <c r="AA284" s="4">
        <v>132</v>
      </c>
      <c r="AB284" s="4">
        <v>1</v>
      </c>
      <c r="AC284" s="4">
        <v>3</v>
      </c>
      <c r="AD284" s="4">
        <v>0</v>
      </c>
      <c r="AE284" s="4">
        <v>3</v>
      </c>
      <c r="AF284" s="4">
        <v>0</v>
      </c>
      <c r="AG284" s="4">
        <v>0</v>
      </c>
      <c r="AH284" s="4">
        <v>0</v>
      </c>
      <c r="AI284" s="4">
        <v>1</v>
      </c>
      <c r="AJ284" s="4">
        <v>0</v>
      </c>
      <c r="AK284" s="4">
        <v>0</v>
      </c>
      <c r="AL284" s="4">
        <v>0</v>
      </c>
      <c r="AM284" s="4">
        <v>2</v>
      </c>
      <c r="AN284" s="4">
        <v>0</v>
      </c>
      <c r="AO284" s="4">
        <v>0</v>
      </c>
      <c r="AP284" s="3" t="s">
        <v>58</v>
      </c>
      <c r="AQ284" s="3" t="s">
        <v>58</v>
      </c>
      <c r="AS284" s="6" t="str">
        <f>HYPERLINK("https://creighton-primo.hosted.exlibrisgroup.com/primo-explore/search?tab=default_tab&amp;search_scope=EVERYTHING&amp;vid=01CRU&amp;lang=en_US&amp;offset=0&amp;query=any,contains,991000015759702656","Catalog Record")</f>
        <v>Catalog Record</v>
      </c>
      <c r="AT284" s="6" t="str">
        <f>HYPERLINK("http://www.worldcat.org/oclc/7553907","WorldCat Record")</f>
        <v>WorldCat Record</v>
      </c>
      <c r="AU284" s="3" t="s">
        <v>3633</v>
      </c>
      <c r="AV284" s="3" t="s">
        <v>3634</v>
      </c>
      <c r="AW284" s="3" t="s">
        <v>3635</v>
      </c>
      <c r="AX284" s="3" t="s">
        <v>3635</v>
      </c>
      <c r="AY284" s="3" t="s">
        <v>3636</v>
      </c>
      <c r="AZ284" s="3" t="s">
        <v>75</v>
      </c>
      <c r="BB284" s="3" t="s">
        <v>3637</v>
      </c>
      <c r="BC284" s="3" t="s">
        <v>3638</v>
      </c>
      <c r="BD284" s="3" t="s">
        <v>3639</v>
      </c>
    </row>
    <row r="285" spans="1:56" ht="39" customHeight="1" x14ac:dyDescent="0.25">
      <c r="A285" s="7" t="s">
        <v>58</v>
      </c>
      <c r="B285" s="2" t="s">
        <v>3640</v>
      </c>
      <c r="C285" s="2" t="s">
        <v>3641</v>
      </c>
      <c r="D285" s="2" t="s">
        <v>3642</v>
      </c>
      <c r="F285" s="3" t="s">
        <v>58</v>
      </c>
      <c r="G285" s="3" t="s">
        <v>59</v>
      </c>
      <c r="H285" s="3" t="s">
        <v>58</v>
      </c>
      <c r="I285" s="3" t="s">
        <v>58</v>
      </c>
      <c r="J285" s="3" t="s">
        <v>60</v>
      </c>
      <c r="K285" s="2" t="s">
        <v>3643</v>
      </c>
      <c r="L285" s="2" t="s">
        <v>3644</v>
      </c>
      <c r="M285" s="3" t="s">
        <v>845</v>
      </c>
      <c r="O285" s="3" t="s">
        <v>65</v>
      </c>
      <c r="P285" s="3" t="s">
        <v>571</v>
      </c>
      <c r="R285" s="3" t="s">
        <v>68</v>
      </c>
      <c r="S285" s="4">
        <v>3</v>
      </c>
      <c r="T285" s="4">
        <v>3</v>
      </c>
      <c r="U285" s="5" t="s">
        <v>3645</v>
      </c>
      <c r="V285" s="5" t="s">
        <v>3645</v>
      </c>
      <c r="W285" s="5" t="s">
        <v>3291</v>
      </c>
      <c r="X285" s="5" t="s">
        <v>3291</v>
      </c>
      <c r="Y285" s="4">
        <v>31</v>
      </c>
      <c r="Z285" s="4">
        <v>25</v>
      </c>
      <c r="AA285" s="4">
        <v>33</v>
      </c>
      <c r="AB285" s="4">
        <v>1</v>
      </c>
      <c r="AC285" s="4">
        <v>1</v>
      </c>
      <c r="AD285" s="4">
        <v>5</v>
      </c>
      <c r="AE285" s="4">
        <v>8</v>
      </c>
      <c r="AF285" s="4">
        <v>3</v>
      </c>
      <c r="AG285" s="4">
        <v>4</v>
      </c>
      <c r="AH285" s="4">
        <v>3</v>
      </c>
      <c r="AI285" s="4">
        <v>3</v>
      </c>
      <c r="AJ285" s="4">
        <v>2</v>
      </c>
      <c r="AK285" s="4">
        <v>4</v>
      </c>
      <c r="AL285" s="4">
        <v>0</v>
      </c>
      <c r="AM285" s="4">
        <v>0</v>
      </c>
      <c r="AN285" s="4">
        <v>0</v>
      </c>
      <c r="AO285" s="4">
        <v>0</v>
      </c>
      <c r="AP285" s="3" t="s">
        <v>58</v>
      </c>
      <c r="AQ285" s="3" t="s">
        <v>58</v>
      </c>
      <c r="AS285" s="6" t="str">
        <f>HYPERLINK("https://creighton-primo.hosted.exlibrisgroup.com/primo-explore/search?tab=default_tab&amp;search_scope=EVERYTHING&amp;vid=01CRU&amp;lang=en_US&amp;offset=0&amp;query=any,contains,991000920079702656","Catalog Record")</f>
        <v>Catalog Record</v>
      </c>
      <c r="AT285" s="6" t="str">
        <f>HYPERLINK("http://www.worldcat.org/oclc/14191886","WorldCat Record")</f>
        <v>WorldCat Record</v>
      </c>
      <c r="AU285" s="3" t="s">
        <v>3646</v>
      </c>
      <c r="AV285" s="3" t="s">
        <v>3647</v>
      </c>
      <c r="AW285" s="3" t="s">
        <v>3648</v>
      </c>
      <c r="AX285" s="3" t="s">
        <v>3648</v>
      </c>
      <c r="AY285" s="3" t="s">
        <v>3649</v>
      </c>
      <c r="AZ285" s="3" t="s">
        <v>75</v>
      </c>
      <c r="BC285" s="3" t="s">
        <v>3650</v>
      </c>
      <c r="BD285" s="3" t="s">
        <v>3651</v>
      </c>
    </row>
    <row r="286" spans="1:56" ht="39" customHeight="1" x14ac:dyDescent="0.25">
      <c r="A286" s="7" t="s">
        <v>58</v>
      </c>
      <c r="B286" s="2" t="s">
        <v>3652</v>
      </c>
      <c r="C286" s="2" t="s">
        <v>3653</v>
      </c>
      <c r="D286" s="2" t="s">
        <v>3654</v>
      </c>
      <c r="F286" s="3" t="s">
        <v>58</v>
      </c>
      <c r="G286" s="3" t="s">
        <v>59</v>
      </c>
      <c r="H286" s="3" t="s">
        <v>58</v>
      </c>
      <c r="I286" s="3" t="s">
        <v>58</v>
      </c>
      <c r="J286" s="3" t="s">
        <v>60</v>
      </c>
      <c r="L286" s="2" t="s">
        <v>3655</v>
      </c>
      <c r="M286" s="3" t="s">
        <v>3656</v>
      </c>
      <c r="O286" s="3" t="s">
        <v>65</v>
      </c>
      <c r="P286" s="3" t="s">
        <v>186</v>
      </c>
      <c r="R286" s="3" t="s">
        <v>68</v>
      </c>
      <c r="S286" s="4">
        <v>5</v>
      </c>
      <c r="T286" s="4">
        <v>5</v>
      </c>
      <c r="U286" s="5" t="s">
        <v>3657</v>
      </c>
      <c r="V286" s="5" t="s">
        <v>3657</v>
      </c>
      <c r="W286" s="5" t="s">
        <v>3658</v>
      </c>
      <c r="X286" s="5" t="s">
        <v>3658</v>
      </c>
      <c r="Y286" s="4">
        <v>250</v>
      </c>
      <c r="Z286" s="4">
        <v>242</v>
      </c>
      <c r="AA286" s="4">
        <v>268</v>
      </c>
      <c r="AB286" s="4">
        <v>2</v>
      </c>
      <c r="AC286" s="4">
        <v>2</v>
      </c>
      <c r="AD286" s="4">
        <v>12</v>
      </c>
      <c r="AE286" s="4">
        <v>14</v>
      </c>
      <c r="AF286" s="4">
        <v>3</v>
      </c>
      <c r="AG286" s="4">
        <v>5</v>
      </c>
      <c r="AH286" s="4">
        <v>3</v>
      </c>
      <c r="AI286" s="4">
        <v>3</v>
      </c>
      <c r="AJ286" s="4">
        <v>8</v>
      </c>
      <c r="AK286" s="4">
        <v>9</v>
      </c>
      <c r="AL286" s="4">
        <v>0</v>
      </c>
      <c r="AM286" s="4">
        <v>0</v>
      </c>
      <c r="AN286" s="4">
        <v>0</v>
      </c>
      <c r="AO286" s="4">
        <v>0</v>
      </c>
      <c r="AP286" s="3" t="s">
        <v>58</v>
      </c>
      <c r="AQ286" s="3" t="s">
        <v>132</v>
      </c>
      <c r="AR286" s="6" t="str">
        <f>HYPERLINK("http://catalog.hathitrust.org/Record/009923326","HathiTrust Record")</f>
        <v>HathiTrust Record</v>
      </c>
      <c r="AS286" s="6" t="str">
        <f>HYPERLINK("https://creighton-primo.hosted.exlibrisgroup.com/primo-explore/search?tab=default_tab&amp;search_scope=EVERYTHING&amp;vid=01CRU&amp;lang=en_US&amp;offset=0&amp;query=any,contains,991005425609702656","Catalog Record")</f>
        <v>Catalog Record</v>
      </c>
      <c r="AT286" s="6" t="str">
        <f>HYPERLINK("http://www.worldcat.org/oclc/36188057","WorldCat Record")</f>
        <v>WorldCat Record</v>
      </c>
      <c r="AU286" s="3" t="s">
        <v>3659</v>
      </c>
      <c r="AV286" s="3" t="s">
        <v>3660</v>
      </c>
      <c r="AW286" s="3" t="s">
        <v>3661</v>
      </c>
      <c r="AX286" s="3" t="s">
        <v>3661</v>
      </c>
      <c r="AY286" s="3" t="s">
        <v>3662</v>
      </c>
      <c r="AZ286" s="3" t="s">
        <v>75</v>
      </c>
      <c r="BB286" s="3" t="s">
        <v>3663</v>
      </c>
      <c r="BC286" s="3" t="s">
        <v>3664</v>
      </c>
      <c r="BD286" s="3" t="s">
        <v>3665</v>
      </c>
    </row>
    <row r="287" spans="1:56" ht="39" customHeight="1" x14ac:dyDescent="0.25">
      <c r="A287" s="7" t="s">
        <v>58</v>
      </c>
      <c r="B287" s="2" t="s">
        <v>3666</v>
      </c>
      <c r="C287" s="2" t="s">
        <v>3667</v>
      </c>
      <c r="D287" s="2" t="s">
        <v>3668</v>
      </c>
      <c r="F287" s="3" t="s">
        <v>58</v>
      </c>
      <c r="G287" s="3" t="s">
        <v>59</v>
      </c>
      <c r="H287" s="3" t="s">
        <v>58</v>
      </c>
      <c r="I287" s="3" t="s">
        <v>58</v>
      </c>
      <c r="J287" s="3" t="s">
        <v>60</v>
      </c>
      <c r="K287" s="2" t="s">
        <v>3669</v>
      </c>
      <c r="L287" s="2" t="s">
        <v>3670</v>
      </c>
      <c r="M287" s="3" t="s">
        <v>655</v>
      </c>
      <c r="N287" s="2" t="s">
        <v>2831</v>
      </c>
      <c r="O287" s="3" t="s">
        <v>65</v>
      </c>
      <c r="P287" s="3" t="s">
        <v>186</v>
      </c>
      <c r="R287" s="3" t="s">
        <v>68</v>
      </c>
      <c r="S287" s="4">
        <v>2</v>
      </c>
      <c r="T287" s="4">
        <v>2</v>
      </c>
      <c r="U287" s="5" t="s">
        <v>3671</v>
      </c>
      <c r="V287" s="5" t="s">
        <v>3671</v>
      </c>
      <c r="W287" s="5" t="s">
        <v>3291</v>
      </c>
      <c r="X287" s="5" t="s">
        <v>3291</v>
      </c>
      <c r="Y287" s="4">
        <v>143</v>
      </c>
      <c r="Z287" s="4">
        <v>136</v>
      </c>
      <c r="AA287" s="4">
        <v>143</v>
      </c>
      <c r="AB287" s="4">
        <v>1</v>
      </c>
      <c r="AC287" s="4">
        <v>1</v>
      </c>
      <c r="AD287" s="4">
        <v>3</v>
      </c>
      <c r="AE287" s="4">
        <v>4</v>
      </c>
      <c r="AF287" s="4">
        <v>0</v>
      </c>
      <c r="AG287" s="4">
        <v>0</v>
      </c>
      <c r="AH287" s="4">
        <v>1</v>
      </c>
      <c r="AI287" s="4">
        <v>1</v>
      </c>
      <c r="AJ287" s="4">
        <v>2</v>
      </c>
      <c r="AK287" s="4">
        <v>3</v>
      </c>
      <c r="AL287" s="4">
        <v>0</v>
      </c>
      <c r="AM287" s="4">
        <v>0</v>
      </c>
      <c r="AN287" s="4">
        <v>0</v>
      </c>
      <c r="AO287" s="4">
        <v>0</v>
      </c>
      <c r="AP287" s="3" t="s">
        <v>58</v>
      </c>
      <c r="AQ287" s="3" t="s">
        <v>58</v>
      </c>
      <c r="AS287" s="6" t="str">
        <f>HYPERLINK("https://creighton-primo.hosted.exlibrisgroup.com/primo-explore/search?tab=default_tab&amp;search_scope=EVERYTHING&amp;vid=01CRU&amp;lang=en_US&amp;offset=0&amp;query=any,contains,991003196289702656","Catalog Record")</f>
        <v>Catalog Record</v>
      </c>
      <c r="AT287" s="6" t="str">
        <f>HYPERLINK("http://www.worldcat.org/oclc/721715","WorldCat Record")</f>
        <v>WorldCat Record</v>
      </c>
      <c r="AU287" s="3" t="s">
        <v>3672</v>
      </c>
      <c r="AV287" s="3" t="s">
        <v>3673</v>
      </c>
      <c r="AW287" s="3" t="s">
        <v>3674</v>
      </c>
      <c r="AX287" s="3" t="s">
        <v>3674</v>
      </c>
      <c r="AY287" s="3" t="s">
        <v>3675</v>
      </c>
      <c r="AZ287" s="3" t="s">
        <v>75</v>
      </c>
      <c r="BB287" s="3" t="s">
        <v>3676</v>
      </c>
      <c r="BC287" s="3" t="s">
        <v>3677</v>
      </c>
      <c r="BD287" s="3" t="s">
        <v>3678</v>
      </c>
    </row>
    <row r="288" spans="1:56" ht="39" customHeight="1" x14ac:dyDescent="0.25">
      <c r="A288" s="7" t="s">
        <v>58</v>
      </c>
      <c r="B288" s="2" t="s">
        <v>3679</v>
      </c>
      <c r="C288" s="2" t="s">
        <v>3680</v>
      </c>
      <c r="D288" s="2" t="s">
        <v>3681</v>
      </c>
      <c r="F288" s="3" t="s">
        <v>58</v>
      </c>
      <c r="G288" s="3" t="s">
        <v>59</v>
      </c>
      <c r="H288" s="3" t="s">
        <v>58</v>
      </c>
      <c r="I288" s="3" t="s">
        <v>58</v>
      </c>
      <c r="J288" s="3" t="s">
        <v>60</v>
      </c>
      <c r="K288" s="2" t="s">
        <v>3682</v>
      </c>
      <c r="L288" s="2" t="s">
        <v>3683</v>
      </c>
      <c r="M288" s="3" t="s">
        <v>1150</v>
      </c>
      <c r="O288" s="3" t="s">
        <v>65</v>
      </c>
      <c r="P288" s="3" t="s">
        <v>158</v>
      </c>
      <c r="R288" s="3" t="s">
        <v>68</v>
      </c>
      <c r="S288" s="4">
        <v>1</v>
      </c>
      <c r="T288" s="4">
        <v>1</v>
      </c>
      <c r="U288" s="5" t="s">
        <v>3684</v>
      </c>
      <c r="V288" s="5" t="s">
        <v>3684</v>
      </c>
      <c r="W288" s="5" t="s">
        <v>3685</v>
      </c>
      <c r="X288" s="5" t="s">
        <v>3685</v>
      </c>
      <c r="Y288" s="4">
        <v>29</v>
      </c>
      <c r="Z288" s="4">
        <v>27</v>
      </c>
      <c r="AA288" s="4">
        <v>108</v>
      </c>
      <c r="AB288" s="4">
        <v>2</v>
      </c>
      <c r="AC288" s="4">
        <v>2</v>
      </c>
      <c r="AD288" s="4">
        <v>2</v>
      </c>
      <c r="AE288" s="4">
        <v>13</v>
      </c>
      <c r="AF288" s="4">
        <v>1</v>
      </c>
      <c r="AG288" s="4">
        <v>3</v>
      </c>
      <c r="AH288" s="4">
        <v>1</v>
      </c>
      <c r="AI288" s="4">
        <v>4</v>
      </c>
      <c r="AJ288" s="4">
        <v>1</v>
      </c>
      <c r="AK288" s="4">
        <v>9</v>
      </c>
      <c r="AL288" s="4">
        <v>0</v>
      </c>
      <c r="AM288" s="4">
        <v>0</v>
      </c>
      <c r="AN288" s="4">
        <v>0</v>
      </c>
      <c r="AO288" s="4">
        <v>0</v>
      </c>
      <c r="AP288" s="3" t="s">
        <v>58</v>
      </c>
      <c r="AQ288" s="3" t="s">
        <v>58</v>
      </c>
      <c r="AS288" s="6" t="str">
        <f>HYPERLINK("https://creighton-primo.hosted.exlibrisgroup.com/primo-explore/search?tab=default_tab&amp;search_scope=EVERYTHING&amp;vid=01CRU&amp;lang=en_US&amp;offset=0&amp;query=any,contains,991002606829702656","Catalog Record")</f>
        <v>Catalog Record</v>
      </c>
      <c r="AT288" s="6" t="str">
        <f>HYPERLINK("http://www.worldcat.org/oclc/34150058","WorldCat Record")</f>
        <v>WorldCat Record</v>
      </c>
      <c r="AU288" s="3" t="s">
        <v>3686</v>
      </c>
      <c r="AV288" s="3" t="s">
        <v>3687</v>
      </c>
      <c r="AW288" s="3" t="s">
        <v>3688</v>
      </c>
      <c r="AX288" s="3" t="s">
        <v>3688</v>
      </c>
      <c r="AY288" s="3" t="s">
        <v>3689</v>
      </c>
      <c r="AZ288" s="3" t="s">
        <v>75</v>
      </c>
      <c r="BB288" s="3" t="s">
        <v>3690</v>
      </c>
      <c r="BC288" s="3" t="s">
        <v>3691</v>
      </c>
      <c r="BD288" s="3" t="s">
        <v>3692</v>
      </c>
    </row>
    <row r="289" spans="1:56" ht="39" customHeight="1" x14ac:dyDescent="0.25">
      <c r="A289" s="7" t="s">
        <v>58</v>
      </c>
      <c r="B289" s="2" t="s">
        <v>3693</v>
      </c>
      <c r="C289" s="2" t="s">
        <v>3694</v>
      </c>
      <c r="D289" s="2" t="s">
        <v>3695</v>
      </c>
      <c r="F289" s="3" t="s">
        <v>58</v>
      </c>
      <c r="G289" s="3" t="s">
        <v>59</v>
      </c>
      <c r="H289" s="3" t="s">
        <v>58</v>
      </c>
      <c r="I289" s="3" t="s">
        <v>58</v>
      </c>
      <c r="J289" s="3" t="s">
        <v>60</v>
      </c>
      <c r="K289" s="2" t="s">
        <v>3696</v>
      </c>
      <c r="L289" s="2" t="s">
        <v>3697</v>
      </c>
      <c r="M289" s="3" t="s">
        <v>3656</v>
      </c>
      <c r="N289" s="2" t="s">
        <v>3698</v>
      </c>
      <c r="O289" s="3" t="s">
        <v>65</v>
      </c>
      <c r="P289" s="3" t="s">
        <v>186</v>
      </c>
      <c r="R289" s="3" t="s">
        <v>68</v>
      </c>
      <c r="S289" s="4">
        <v>3</v>
      </c>
      <c r="T289" s="4">
        <v>3</v>
      </c>
      <c r="U289" s="5" t="s">
        <v>3699</v>
      </c>
      <c r="V289" s="5" t="s">
        <v>3699</v>
      </c>
      <c r="W289" s="5" t="s">
        <v>3700</v>
      </c>
      <c r="X289" s="5" t="s">
        <v>3700</v>
      </c>
      <c r="Y289" s="4">
        <v>406</v>
      </c>
      <c r="Z289" s="4">
        <v>389</v>
      </c>
      <c r="AA289" s="4">
        <v>402</v>
      </c>
      <c r="AB289" s="4">
        <v>3</v>
      </c>
      <c r="AC289" s="4">
        <v>3</v>
      </c>
      <c r="AD289" s="4">
        <v>3</v>
      </c>
      <c r="AE289" s="4">
        <v>3</v>
      </c>
      <c r="AF289" s="4">
        <v>0</v>
      </c>
      <c r="AG289" s="4">
        <v>0</v>
      </c>
      <c r="AH289" s="4">
        <v>1</v>
      </c>
      <c r="AI289" s="4">
        <v>1</v>
      </c>
      <c r="AJ289" s="4">
        <v>2</v>
      </c>
      <c r="AK289" s="4">
        <v>2</v>
      </c>
      <c r="AL289" s="4">
        <v>1</v>
      </c>
      <c r="AM289" s="4">
        <v>1</v>
      </c>
      <c r="AN289" s="4">
        <v>0</v>
      </c>
      <c r="AO289" s="4">
        <v>0</v>
      </c>
      <c r="AP289" s="3" t="s">
        <v>58</v>
      </c>
      <c r="AQ289" s="3" t="s">
        <v>58</v>
      </c>
      <c r="AS289" s="6" t="str">
        <f>HYPERLINK("https://creighton-primo.hosted.exlibrisgroup.com/primo-explore/search?tab=default_tab&amp;search_scope=EVERYTHING&amp;vid=01CRU&amp;lang=en_US&amp;offset=0&amp;query=any,contains,991002791439702656","Catalog Record")</f>
        <v>Catalog Record</v>
      </c>
      <c r="AT289" s="6" t="str">
        <f>HYPERLINK("http://www.worldcat.org/oclc/36656504","WorldCat Record")</f>
        <v>WorldCat Record</v>
      </c>
      <c r="AU289" s="3" t="s">
        <v>3701</v>
      </c>
      <c r="AV289" s="3" t="s">
        <v>3702</v>
      </c>
      <c r="AW289" s="3" t="s">
        <v>3703</v>
      </c>
      <c r="AX289" s="3" t="s">
        <v>3703</v>
      </c>
      <c r="AY289" s="3" t="s">
        <v>3704</v>
      </c>
      <c r="AZ289" s="3" t="s">
        <v>75</v>
      </c>
      <c r="BB289" s="3" t="s">
        <v>3705</v>
      </c>
      <c r="BC289" s="3" t="s">
        <v>3706</v>
      </c>
      <c r="BD289" s="3" t="s">
        <v>3707</v>
      </c>
    </row>
    <row r="290" spans="1:56" ht="39" customHeight="1" x14ac:dyDescent="0.25">
      <c r="A290" s="7" t="s">
        <v>58</v>
      </c>
      <c r="B290" s="2" t="s">
        <v>3708</v>
      </c>
      <c r="C290" s="2" t="s">
        <v>3709</v>
      </c>
      <c r="D290" s="2" t="s">
        <v>3710</v>
      </c>
      <c r="F290" s="3" t="s">
        <v>58</v>
      </c>
      <c r="G290" s="3" t="s">
        <v>59</v>
      </c>
      <c r="H290" s="3" t="s">
        <v>58</v>
      </c>
      <c r="I290" s="3" t="s">
        <v>58</v>
      </c>
      <c r="J290" s="3" t="s">
        <v>60</v>
      </c>
      <c r="K290" s="2" t="s">
        <v>3711</v>
      </c>
      <c r="L290" s="2" t="s">
        <v>3712</v>
      </c>
      <c r="M290" s="3" t="s">
        <v>215</v>
      </c>
      <c r="O290" s="3" t="s">
        <v>65</v>
      </c>
      <c r="P290" s="3" t="s">
        <v>186</v>
      </c>
      <c r="R290" s="3" t="s">
        <v>68</v>
      </c>
      <c r="S290" s="4">
        <v>4</v>
      </c>
      <c r="T290" s="4">
        <v>4</v>
      </c>
      <c r="U290" s="5" t="s">
        <v>3713</v>
      </c>
      <c r="V290" s="5" t="s">
        <v>3713</v>
      </c>
      <c r="W290" s="5" t="s">
        <v>3714</v>
      </c>
      <c r="X290" s="5" t="s">
        <v>3714</v>
      </c>
      <c r="Y290" s="4">
        <v>51</v>
      </c>
      <c r="Z290" s="4">
        <v>46</v>
      </c>
      <c r="AA290" s="4">
        <v>46</v>
      </c>
      <c r="AB290" s="4">
        <v>1</v>
      </c>
      <c r="AC290" s="4">
        <v>1</v>
      </c>
      <c r="AD290" s="4">
        <v>6</v>
      </c>
      <c r="AE290" s="4">
        <v>6</v>
      </c>
      <c r="AF290" s="4">
        <v>0</v>
      </c>
      <c r="AG290" s="4">
        <v>0</v>
      </c>
      <c r="AH290" s="4">
        <v>1</v>
      </c>
      <c r="AI290" s="4">
        <v>1</v>
      </c>
      <c r="AJ290" s="4">
        <v>5</v>
      </c>
      <c r="AK290" s="4">
        <v>5</v>
      </c>
      <c r="AL290" s="4">
        <v>0</v>
      </c>
      <c r="AM290" s="4">
        <v>0</v>
      </c>
      <c r="AN290" s="4">
        <v>0</v>
      </c>
      <c r="AO290" s="4">
        <v>0</v>
      </c>
      <c r="AP290" s="3" t="s">
        <v>58</v>
      </c>
      <c r="AQ290" s="3" t="s">
        <v>58</v>
      </c>
      <c r="AS290" s="6" t="str">
        <f>HYPERLINK("https://creighton-primo.hosted.exlibrisgroup.com/primo-explore/search?tab=default_tab&amp;search_scope=EVERYTHING&amp;vid=01CRU&amp;lang=en_US&amp;offset=0&amp;query=any,contains,991001168249702656","Catalog Record")</f>
        <v>Catalog Record</v>
      </c>
      <c r="AT290" s="6" t="str">
        <f>HYPERLINK("http://www.worldcat.org/oclc/16931317","WorldCat Record")</f>
        <v>WorldCat Record</v>
      </c>
      <c r="AU290" s="3" t="s">
        <v>3715</v>
      </c>
      <c r="AV290" s="3" t="s">
        <v>3716</v>
      </c>
      <c r="AW290" s="3" t="s">
        <v>3717</v>
      </c>
      <c r="AX290" s="3" t="s">
        <v>3717</v>
      </c>
      <c r="AY290" s="3" t="s">
        <v>3718</v>
      </c>
      <c r="AZ290" s="3" t="s">
        <v>75</v>
      </c>
      <c r="BB290" s="3" t="s">
        <v>3719</v>
      </c>
      <c r="BC290" s="3" t="s">
        <v>3720</v>
      </c>
      <c r="BD290" s="3" t="s">
        <v>3721</v>
      </c>
    </row>
    <row r="291" spans="1:56" ht="39" customHeight="1" x14ac:dyDescent="0.25">
      <c r="A291" s="7" t="s">
        <v>58</v>
      </c>
      <c r="B291" s="2" t="s">
        <v>3722</v>
      </c>
      <c r="C291" s="2" t="s">
        <v>3723</v>
      </c>
      <c r="D291" s="2" t="s">
        <v>3724</v>
      </c>
      <c r="F291" s="3" t="s">
        <v>58</v>
      </c>
      <c r="G291" s="3" t="s">
        <v>59</v>
      </c>
      <c r="H291" s="3" t="s">
        <v>58</v>
      </c>
      <c r="I291" s="3" t="s">
        <v>58</v>
      </c>
      <c r="J291" s="3" t="s">
        <v>60</v>
      </c>
      <c r="K291" s="2" t="s">
        <v>3725</v>
      </c>
      <c r="L291" s="2" t="s">
        <v>3726</v>
      </c>
      <c r="M291" s="3" t="s">
        <v>3656</v>
      </c>
      <c r="O291" s="3" t="s">
        <v>65</v>
      </c>
      <c r="P291" s="3" t="s">
        <v>186</v>
      </c>
      <c r="R291" s="3" t="s">
        <v>68</v>
      </c>
      <c r="S291" s="4">
        <v>1</v>
      </c>
      <c r="T291" s="4">
        <v>1</v>
      </c>
      <c r="U291" s="5" t="s">
        <v>3727</v>
      </c>
      <c r="V291" s="5" t="s">
        <v>3727</v>
      </c>
      <c r="W291" s="5" t="s">
        <v>3728</v>
      </c>
      <c r="X291" s="5" t="s">
        <v>3728</v>
      </c>
      <c r="Y291" s="4">
        <v>161</v>
      </c>
      <c r="Z291" s="4">
        <v>135</v>
      </c>
      <c r="AA291" s="4">
        <v>135</v>
      </c>
      <c r="AB291" s="4">
        <v>2</v>
      </c>
      <c r="AC291" s="4">
        <v>2</v>
      </c>
      <c r="AD291" s="4">
        <v>9</v>
      </c>
      <c r="AE291" s="4">
        <v>9</v>
      </c>
      <c r="AF291" s="4">
        <v>3</v>
      </c>
      <c r="AG291" s="4">
        <v>3</v>
      </c>
      <c r="AH291" s="4">
        <v>2</v>
      </c>
      <c r="AI291" s="4">
        <v>2</v>
      </c>
      <c r="AJ291" s="4">
        <v>4</v>
      </c>
      <c r="AK291" s="4">
        <v>4</v>
      </c>
      <c r="AL291" s="4">
        <v>1</v>
      </c>
      <c r="AM291" s="4">
        <v>1</v>
      </c>
      <c r="AN291" s="4">
        <v>0</v>
      </c>
      <c r="AO291" s="4">
        <v>0</v>
      </c>
      <c r="AP291" s="3" t="s">
        <v>58</v>
      </c>
      <c r="AQ291" s="3" t="s">
        <v>58</v>
      </c>
      <c r="AS291" s="6" t="str">
        <f>HYPERLINK("https://creighton-primo.hosted.exlibrisgroup.com/primo-explore/search?tab=default_tab&amp;search_scope=EVERYTHING&amp;vid=01CRU&amp;lang=en_US&amp;offset=0&amp;query=any,contains,991002737979702656","Catalog Record")</f>
        <v>Catalog Record</v>
      </c>
      <c r="AT291" s="6" t="str">
        <f>HYPERLINK("http://www.worldcat.org/oclc/35955185","WorldCat Record")</f>
        <v>WorldCat Record</v>
      </c>
      <c r="AU291" s="3" t="s">
        <v>3729</v>
      </c>
      <c r="AV291" s="3" t="s">
        <v>3730</v>
      </c>
      <c r="AW291" s="3" t="s">
        <v>3731</v>
      </c>
      <c r="AX291" s="3" t="s">
        <v>3731</v>
      </c>
      <c r="AY291" s="3" t="s">
        <v>3732</v>
      </c>
      <c r="AZ291" s="3" t="s">
        <v>75</v>
      </c>
      <c r="BB291" s="3" t="s">
        <v>3733</v>
      </c>
      <c r="BC291" s="3" t="s">
        <v>3734</v>
      </c>
      <c r="BD291" s="3" t="s">
        <v>3735</v>
      </c>
    </row>
    <row r="292" spans="1:56" ht="39" customHeight="1" x14ac:dyDescent="0.25">
      <c r="A292" s="7" t="s">
        <v>58</v>
      </c>
      <c r="B292" s="2" t="s">
        <v>3736</v>
      </c>
      <c r="C292" s="2" t="s">
        <v>3737</v>
      </c>
      <c r="D292" s="2" t="s">
        <v>3738</v>
      </c>
      <c r="F292" s="3" t="s">
        <v>58</v>
      </c>
      <c r="G292" s="3" t="s">
        <v>59</v>
      </c>
      <c r="H292" s="3" t="s">
        <v>58</v>
      </c>
      <c r="I292" s="3" t="s">
        <v>58</v>
      </c>
      <c r="J292" s="3" t="s">
        <v>60</v>
      </c>
      <c r="K292" s="2" t="s">
        <v>3739</v>
      </c>
      <c r="L292" s="2" t="s">
        <v>3740</v>
      </c>
      <c r="M292" s="3" t="s">
        <v>229</v>
      </c>
      <c r="O292" s="3" t="s">
        <v>65</v>
      </c>
      <c r="P292" s="3" t="s">
        <v>230</v>
      </c>
      <c r="R292" s="3" t="s">
        <v>68</v>
      </c>
      <c r="S292" s="4">
        <v>4</v>
      </c>
      <c r="T292" s="4">
        <v>4</v>
      </c>
      <c r="U292" s="5" t="s">
        <v>3741</v>
      </c>
      <c r="V292" s="5" t="s">
        <v>3741</v>
      </c>
      <c r="W292" s="5" t="s">
        <v>3742</v>
      </c>
      <c r="X292" s="5" t="s">
        <v>3742</v>
      </c>
      <c r="Y292" s="4">
        <v>435</v>
      </c>
      <c r="Z292" s="4">
        <v>406</v>
      </c>
      <c r="AA292" s="4">
        <v>440</v>
      </c>
      <c r="AB292" s="4">
        <v>4</v>
      </c>
      <c r="AC292" s="4">
        <v>4</v>
      </c>
      <c r="AD292" s="4">
        <v>17</v>
      </c>
      <c r="AE292" s="4">
        <v>17</v>
      </c>
      <c r="AF292" s="4">
        <v>5</v>
      </c>
      <c r="AG292" s="4">
        <v>5</v>
      </c>
      <c r="AH292" s="4">
        <v>5</v>
      </c>
      <c r="AI292" s="4">
        <v>5</v>
      </c>
      <c r="AJ292" s="4">
        <v>8</v>
      </c>
      <c r="AK292" s="4">
        <v>8</v>
      </c>
      <c r="AL292" s="4">
        <v>2</v>
      </c>
      <c r="AM292" s="4">
        <v>2</v>
      </c>
      <c r="AN292" s="4">
        <v>0</v>
      </c>
      <c r="AO292" s="4">
        <v>0</v>
      </c>
      <c r="AP292" s="3" t="s">
        <v>58</v>
      </c>
      <c r="AQ292" s="3" t="s">
        <v>132</v>
      </c>
      <c r="AR292" s="6" t="str">
        <f>HYPERLINK("http://catalog.hathitrust.org/Record/002234955","HathiTrust Record")</f>
        <v>HathiTrust Record</v>
      </c>
      <c r="AS292" s="6" t="str">
        <f>HYPERLINK("https://creighton-primo.hosted.exlibrisgroup.com/primo-explore/search?tab=default_tab&amp;search_scope=EVERYTHING&amp;vid=01CRU&amp;lang=en_US&amp;offset=0&amp;query=any,contains,991001555949702656","Catalog Record")</f>
        <v>Catalog Record</v>
      </c>
      <c r="AT292" s="6" t="str">
        <f>HYPERLINK("http://www.worldcat.org/oclc/20264054","WorldCat Record")</f>
        <v>WorldCat Record</v>
      </c>
      <c r="AU292" s="3" t="s">
        <v>3743</v>
      </c>
      <c r="AV292" s="3" t="s">
        <v>3744</v>
      </c>
      <c r="AW292" s="3" t="s">
        <v>3745</v>
      </c>
      <c r="AX292" s="3" t="s">
        <v>3745</v>
      </c>
      <c r="AY292" s="3" t="s">
        <v>3746</v>
      </c>
      <c r="AZ292" s="3" t="s">
        <v>75</v>
      </c>
      <c r="BB292" s="3" t="s">
        <v>3747</v>
      </c>
      <c r="BC292" s="3" t="s">
        <v>3748</v>
      </c>
      <c r="BD292" s="3" t="s">
        <v>3749</v>
      </c>
    </row>
    <row r="293" spans="1:56" ht="39" customHeight="1" x14ac:dyDescent="0.25">
      <c r="A293" s="7" t="s">
        <v>58</v>
      </c>
      <c r="B293" s="2" t="s">
        <v>3750</v>
      </c>
      <c r="C293" s="2" t="s">
        <v>3751</v>
      </c>
      <c r="D293" s="2" t="s">
        <v>3752</v>
      </c>
      <c r="F293" s="3" t="s">
        <v>58</v>
      </c>
      <c r="G293" s="3" t="s">
        <v>59</v>
      </c>
      <c r="H293" s="3" t="s">
        <v>58</v>
      </c>
      <c r="I293" s="3" t="s">
        <v>58</v>
      </c>
      <c r="J293" s="3" t="s">
        <v>60</v>
      </c>
      <c r="K293" s="2" t="s">
        <v>3753</v>
      </c>
      <c r="L293" s="2" t="s">
        <v>3754</v>
      </c>
      <c r="M293" s="3" t="s">
        <v>682</v>
      </c>
      <c r="N293" s="2" t="s">
        <v>3755</v>
      </c>
      <c r="O293" s="3" t="s">
        <v>65</v>
      </c>
      <c r="P293" s="3" t="s">
        <v>967</v>
      </c>
      <c r="Q293" s="2" t="s">
        <v>3756</v>
      </c>
      <c r="R293" s="3" t="s">
        <v>68</v>
      </c>
      <c r="S293" s="4">
        <v>1</v>
      </c>
      <c r="T293" s="4">
        <v>1</v>
      </c>
      <c r="U293" s="5" t="s">
        <v>3757</v>
      </c>
      <c r="V293" s="5" t="s">
        <v>3757</v>
      </c>
      <c r="W293" s="5" t="s">
        <v>3291</v>
      </c>
      <c r="X293" s="5" t="s">
        <v>3291</v>
      </c>
      <c r="Y293" s="4">
        <v>199</v>
      </c>
      <c r="Z293" s="4">
        <v>156</v>
      </c>
      <c r="AA293" s="4">
        <v>254</v>
      </c>
      <c r="AB293" s="4">
        <v>2</v>
      </c>
      <c r="AC293" s="4">
        <v>2</v>
      </c>
      <c r="AD293" s="4">
        <v>11</v>
      </c>
      <c r="AE293" s="4">
        <v>15</v>
      </c>
      <c r="AF293" s="4">
        <v>2</v>
      </c>
      <c r="AG293" s="4">
        <v>4</v>
      </c>
      <c r="AH293" s="4">
        <v>2</v>
      </c>
      <c r="AI293" s="4">
        <v>5</v>
      </c>
      <c r="AJ293" s="4">
        <v>6</v>
      </c>
      <c r="AK293" s="4">
        <v>7</v>
      </c>
      <c r="AL293" s="4">
        <v>1</v>
      </c>
      <c r="AM293" s="4">
        <v>1</v>
      </c>
      <c r="AN293" s="4">
        <v>1</v>
      </c>
      <c r="AO293" s="4">
        <v>1</v>
      </c>
      <c r="AP293" s="3" t="s">
        <v>58</v>
      </c>
      <c r="AQ293" s="3" t="s">
        <v>58</v>
      </c>
      <c r="AS293" s="6" t="str">
        <f>HYPERLINK("https://creighton-primo.hosted.exlibrisgroup.com/primo-explore/search?tab=default_tab&amp;search_scope=EVERYTHING&amp;vid=01CRU&amp;lang=en_US&amp;offset=0&amp;query=any,contains,991004733749702656","Catalog Record")</f>
        <v>Catalog Record</v>
      </c>
      <c r="AT293" s="6" t="str">
        <f>HYPERLINK("http://www.worldcat.org/oclc/4843679","WorldCat Record")</f>
        <v>WorldCat Record</v>
      </c>
      <c r="AU293" s="3" t="s">
        <v>3758</v>
      </c>
      <c r="AV293" s="3" t="s">
        <v>3759</v>
      </c>
      <c r="AW293" s="3" t="s">
        <v>3760</v>
      </c>
      <c r="AX293" s="3" t="s">
        <v>3760</v>
      </c>
      <c r="AY293" s="3" t="s">
        <v>3761</v>
      </c>
      <c r="AZ293" s="3" t="s">
        <v>75</v>
      </c>
      <c r="BB293" s="3" t="s">
        <v>3762</v>
      </c>
      <c r="BC293" s="3" t="s">
        <v>3763</v>
      </c>
      <c r="BD293" s="3" t="s">
        <v>3764</v>
      </c>
    </row>
    <row r="294" spans="1:56" ht="39" customHeight="1" x14ac:dyDescent="0.25">
      <c r="A294" s="7" t="s">
        <v>58</v>
      </c>
      <c r="B294" s="2" t="s">
        <v>3765</v>
      </c>
      <c r="C294" s="2" t="s">
        <v>3766</v>
      </c>
      <c r="D294" s="2" t="s">
        <v>3767</v>
      </c>
      <c r="F294" s="3" t="s">
        <v>58</v>
      </c>
      <c r="G294" s="3" t="s">
        <v>59</v>
      </c>
      <c r="H294" s="3" t="s">
        <v>58</v>
      </c>
      <c r="I294" s="3" t="s">
        <v>58</v>
      </c>
      <c r="J294" s="3" t="s">
        <v>60</v>
      </c>
      <c r="K294" s="2" t="s">
        <v>3768</v>
      </c>
      <c r="L294" s="2" t="s">
        <v>3769</v>
      </c>
      <c r="M294" s="3" t="s">
        <v>374</v>
      </c>
      <c r="O294" s="3" t="s">
        <v>65</v>
      </c>
      <c r="P294" s="3" t="s">
        <v>66</v>
      </c>
      <c r="R294" s="3" t="s">
        <v>68</v>
      </c>
      <c r="S294" s="4">
        <v>1</v>
      </c>
      <c r="T294" s="4">
        <v>1</v>
      </c>
      <c r="U294" s="5" t="s">
        <v>3770</v>
      </c>
      <c r="V294" s="5" t="s">
        <v>3770</v>
      </c>
      <c r="W294" s="5" t="s">
        <v>3770</v>
      </c>
      <c r="X294" s="5" t="s">
        <v>3770</v>
      </c>
      <c r="Y294" s="4">
        <v>265</v>
      </c>
      <c r="Z294" s="4">
        <v>204</v>
      </c>
      <c r="AA294" s="4">
        <v>207</v>
      </c>
      <c r="AB294" s="4">
        <v>2</v>
      </c>
      <c r="AC294" s="4">
        <v>2</v>
      </c>
      <c r="AD294" s="4">
        <v>9</v>
      </c>
      <c r="AE294" s="4">
        <v>9</v>
      </c>
      <c r="AF294" s="4">
        <v>1</v>
      </c>
      <c r="AG294" s="4">
        <v>1</v>
      </c>
      <c r="AH294" s="4">
        <v>4</v>
      </c>
      <c r="AI294" s="4">
        <v>4</v>
      </c>
      <c r="AJ294" s="4">
        <v>6</v>
      </c>
      <c r="AK294" s="4">
        <v>6</v>
      </c>
      <c r="AL294" s="4">
        <v>1</v>
      </c>
      <c r="AM294" s="4">
        <v>1</v>
      </c>
      <c r="AN294" s="4">
        <v>0</v>
      </c>
      <c r="AO294" s="4">
        <v>0</v>
      </c>
      <c r="AP294" s="3" t="s">
        <v>58</v>
      </c>
      <c r="AQ294" s="3" t="s">
        <v>132</v>
      </c>
      <c r="AR294" s="6" t="str">
        <f>HYPERLINK("http://catalog.hathitrust.org/Record/002977560","HathiTrust Record")</f>
        <v>HathiTrust Record</v>
      </c>
      <c r="AS294" s="6" t="str">
        <f>HYPERLINK("https://creighton-primo.hosted.exlibrisgroup.com/primo-explore/search?tab=default_tab&amp;search_scope=EVERYTHING&amp;vid=01CRU&amp;lang=en_US&amp;offset=0&amp;query=any,contains,991004232819702656","Catalog Record")</f>
        <v>Catalog Record</v>
      </c>
      <c r="AT294" s="6" t="str">
        <f>HYPERLINK("http://www.worldcat.org/oclc/32282890","WorldCat Record")</f>
        <v>WorldCat Record</v>
      </c>
      <c r="AU294" s="3" t="s">
        <v>3771</v>
      </c>
      <c r="AV294" s="3" t="s">
        <v>3772</v>
      </c>
      <c r="AW294" s="3" t="s">
        <v>3773</v>
      </c>
      <c r="AX294" s="3" t="s">
        <v>3773</v>
      </c>
      <c r="AY294" s="3" t="s">
        <v>3774</v>
      </c>
      <c r="AZ294" s="3" t="s">
        <v>75</v>
      </c>
      <c r="BB294" s="3" t="s">
        <v>3775</v>
      </c>
      <c r="BC294" s="3" t="s">
        <v>3776</v>
      </c>
      <c r="BD294" s="3" t="s">
        <v>3777</v>
      </c>
    </row>
    <row r="295" spans="1:56" ht="39" customHeight="1" x14ac:dyDescent="0.25">
      <c r="A295" s="7" t="s">
        <v>58</v>
      </c>
      <c r="B295" s="2" t="s">
        <v>3778</v>
      </c>
      <c r="C295" s="2" t="s">
        <v>3779</v>
      </c>
      <c r="D295" s="2" t="s">
        <v>3780</v>
      </c>
      <c r="F295" s="3" t="s">
        <v>58</v>
      </c>
      <c r="G295" s="3" t="s">
        <v>59</v>
      </c>
      <c r="H295" s="3" t="s">
        <v>58</v>
      </c>
      <c r="I295" s="3" t="s">
        <v>58</v>
      </c>
      <c r="J295" s="3" t="s">
        <v>60</v>
      </c>
      <c r="K295" s="2" t="s">
        <v>3781</v>
      </c>
      <c r="L295" s="2" t="s">
        <v>3782</v>
      </c>
      <c r="M295" s="3" t="s">
        <v>3556</v>
      </c>
      <c r="O295" s="3" t="s">
        <v>65</v>
      </c>
      <c r="P295" s="3" t="s">
        <v>492</v>
      </c>
      <c r="R295" s="3" t="s">
        <v>68</v>
      </c>
      <c r="S295" s="4">
        <v>1</v>
      </c>
      <c r="T295" s="4">
        <v>1</v>
      </c>
      <c r="U295" s="5" t="s">
        <v>3783</v>
      </c>
      <c r="V295" s="5" t="s">
        <v>3783</v>
      </c>
      <c r="W295" s="5" t="s">
        <v>2069</v>
      </c>
      <c r="X295" s="5" t="s">
        <v>2069</v>
      </c>
      <c r="Y295" s="4">
        <v>45</v>
      </c>
      <c r="Z295" s="4">
        <v>26</v>
      </c>
      <c r="AA295" s="4">
        <v>27</v>
      </c>
      <c r="AB295" s="4">
        <v>1</v>
      </c>
      <c r="AC295" s="4">
        <v>1</v>
      </c>
      <c r="AD295" s="4">
        <v>6</v>
      </c>
      <c r="AE295" s="4">
        <v>6</v>
      </c>
      <c r="AF295" s="4">
        <v>1</v>
      </c>
      <c r="AG295" s="4">
        <v>1</v>
      </c>
      <c r="AH295" s="4">
        <v>2</v>
      </c>
      <c r="AI295" s="4">
        <v>2</v>
      </c>
      <c r="AJ295" s="4">
        <v>4</v>
      </c>
      <c r="AK295" s="4">
        <v>4</v>
      </c>
      <c r="AL295" s="4">
        <v>0</v>
      </c>
      <c r="AM295" s="4">
        <v>0</v>
      </c>
      <c r="AN295" s="4">
        <v>0</v>
      </c>
      <c r="AO295" s="4">
        <v>0</v>
      </c>
      <c r="AP295" s="3" t="s">
        <v>58</v>
      </c>
      <c r="AQ295" s="3" t="s">
        <v>58</v>
      </c>
      <c r="AS295" s="6" t="str">
        <f>HYPERLINK("https://creighton-primo.hosted.exlibrisgroup.com/primo-explore/search?tab=default_tab&amp;search_scope=EVERYTHING&amp;vid=01CRU&amp;lang=en_US&amp;offset=0&amp;query=any,contains,991003077329702656","Catalog Record")</f>
        <v>Catalog Record</v>
      </c>
      <c r="AT295" s="6" t="str">
        <f>HYPERLINK("http://www.worldcat.org/oclc/630062","WorldCat Record")</f>
        <v>WorldCat Record</v>
      </c>
      <c r="AU295" s="3" t="s">
        <v>3784</v>
      </c>
      <c r="AV295" s="3" t="s">
        <v>3785</v>
      </c>
      <c r="AW295" s="3" t="s">
        <v>3786</v>
      </c>
      <c r="AX295" s="3" t="s">
        <v>3786</v>
      </c>
      <c r="AY295" s="3" t="s">
        <v>3787</v>
      </c>
      <c r="AZ295" s="3" t="s">
        <v>75</v>
      </c>
      <c r="BC295" s="3" t="s">
        <v>3788</v>
      </c>
      <c r="BD295" s="3" t="s">
        <v>3789</v>
      </c>
    </row>
    <row r="296" spans="1:56" ht="39" customHeight="1" x14ac:dyDescent="0.25">
      <c r="A296" s="7" t="s">
        <v>58</v>
      </c>
      <c r="B296" s="2" t="s">
        <v>3790</v>
      </c>
      <c r="C296" s="2" t="s">
        <v>3791</v>
      </c>
      <c r="D296" s="2" t="s">
        <v>3792</v>
      </c>
      <c r="F296" s="3" t="s">
        <v>58</v>
      </c>
      <c r="G296" s="3" t="s">
        <v>59</v>
      </c>
      <c r="H296" s="3" t="s">
        <v>58</v>
      </c>
      <c r="I296" s="3" t="s">
        <v>58</v>
      </c>
      <c r="J296" s="3" t="s">
        <v>60</v>
      </c>
      <c r="K296" s="2" t="s">
        <v>3793</v>
      </c>
      <c r="L296" s="2" t="s">
        <v>3794</v>
      </c>
      <c r="M296" s="3" t="s">
        <v>759</v>
      </c>
      <c r="O296" s="3" t="s">
        <v>65</v>
      </c>
      <c r="P296" s="3" t="s">
        <v>492</v>
      </c>
      <c r="R296" s="3" t="s">
        <v>68</v>
      </c>
      <c r="S296" s="4">
        <v>2</v>
      </c>
      <c r="T296" s="4">
        <v>2</v>
      </c>
      <c r="U296" s="5" t="s">
        <v>2807</v>
      </c>
      <c r="V296" s="5" t="s">
        <v>2807</v>
      </c>
      <c r="W296" s="5" t="s">
        <v>3795</v>
      </c>
      <c r="X296" s="5" t="s">
        <v>3795</v>
      </c>
      <c r="Y296" s="4">
        <v>58</v>
      </c>
      <c r="Z296" s="4">
        <v>42</v>
      </c>
      <c r="AA296" s="4">
        <v>841</v>
      </c>
      <c r="AB296" s="4">
        <v>1</v>
      </c>
      <c r="AC296" s="4">
        <v>6</v>
      </c>
      <c r="AD296" s="4">
        <v>1</v>
      </c>
      <c r="AE296" s="4">
        <v>34</v>
      </c>
      <c r="AF296" s="4">
        <v>1</v>
      </c>
      <c r="AG296" s="4">
        <v>14</v>
      </c>
      <c r="AH296" s="4">
        <v>0</v>
      </c>
      <c r="AI296" s="4">
        <v>9</v>
      </c>
      <c r="AJ296" s="4">
        <v>0</v>
      </c>
      <c r="AK296" s="4">
        <v>17</v>
      </c>
      <c r="AL296" s="4">
        <v>0</v>
      </c>
      <c r="AM296" s="4">
        <v>3</v>
      </c>
      <c r="AN296" s="4">
        <v>0</v>
      </c>
      <c r="AO296" s="4">
        <v>0</v>
      </c>
      <c r="AP296" s="3" t="s">
        <v>58</v>
      </c>
      <c r="AQ296" s="3" t="s">
        <v>58</v>
      </c>
      <c r="AS296" s="6" t="str">
        <f>HYPERLINK("https://creighton-primo.hosted.exlibrisgroup.com/primo-explore/search?tab=default_tab&amp;search_scope=EVERYTHING&amp;vid=01CRU&amp;lang=en_US&amp;offset=0&amp;query=any,contains,991001495489702656","Catalog Record")</f>
        <v>Catalog Record</v>
      </c>
      <c r="AT296" s="6" t="str">
        <f>HYPERLINK("http://www.worldcat.org/oclc/19746504","WorldCat Record")</f>
        <v>WorldCat Record</v>
      </c>
      <c r="AU296" s="3" t="s">
        <v>3796</v>
      </c>
      <c r="AV296" s="3" t="s">
        <v>3797</v>
      </c>
      <c r="AW296" s="3" t="s">
        <v>3798</v>
      </c>
      <c r="AX296" s="3" t="s">
        <v>3798</v>
      </c>
      <c r="AY296" s="3" t="s">
        <v>3799</v>
      </c>
      <c r="AZ296" s="3" t="s">
        <v>75</v>
      </c>
      <c r="BC296" s="3" t="s">
        <v>3800</v>
      </c>
      <c r="BD296" s="3" t="s">
        <v>3801</v>
      </c>
    </row>
    <row r="297" spans="1:56" ht="39" customHeight="1" x14ac:dyDescent="0.25">
      <c r="A297" s="7" t="s">
        <v>58</v>
      </c>
      <c r="B297" s="2" t="s">
        <v>3802</v>
      </c>
      <c r="C297" s="2" t="s">
        <v>3803</v>
      </c>
      <c r="D297" s="2" t="s">
        <v>3804</v>
      </c>
      <c r="F297" s="3" t="s">
        <v>58</v>
      </c>
      <c r="G297" s="3" t="s">
        <v>59</v>
      </c>
      <c r="H297" s="3" t="s">
        <v>58</v>
      </c>
      <c r="I297" s="3" t="s">
        <v>58</v>
      </c>
      <c r="J297" s="3" t="s">
        <v>60</v>
      </c>
      <c r="K297" s="2" t="s">
        <v>3805</v>
      </c>
      <c r="L297" s="2" t="s">
        <v>3806</v>
      </c>
      <c r="M297" s="3" t="s">
        <v>215</v>
      </c>
      <c r="O297" s="3" t="s">
        <v>65</v>
      </c>
      <c r="P297" s="3" t="s">
        <v>113</v>
      </c>
      <c r="R297" s="3" t="s">
        <v>68</v>
      </c>
      <c r="S297" s="4">
        <v>1</v>
      </c>
      <c r="T297" s="4">
        <v>1</v>
      </c>
      <c r="U297" s="5" t="s">
        <v>3807</v>
      </c>
      <c r="V297" s="5" t="s">
        <v>3807</v>
      </c>
      <c r="W297" s="5" t="s">
        <v>698</v>
      </c>
      <c r="X297" s="5" t="s">
        <v>698</v>
      </c>
      <c r="Y297" s="4">
        <v>97</v>
      </c>
      <c r="Z297" s="4">
        <v>88</v>
      </c>
      <c r="AA297" s="4">
        <v>90</v>
      </c>
      <c r="AB297" s="4">
        <v>1</v>
      </c>
      <c r="AC297" s="4">
        <v>1</v>
      </c>
      <c r="AD297" s="4">
        <v>13</v>
      </c>
      <c r="AE297" s="4">
        <v>13</v>
      </c>
      <c r="AF297" s="4">
        <v>3</v>
      </c>
      <c r="AG297" s="4">
        <v>3</v>
      </c>
      <c r="AH297" s="4">
        <v>3</v>
      </c>
      <c r="AI297" s="4">
        <v>3</v>
      </c>
      <c r="AJ297" s="4">
        <v>12</v>
      </c>
      <c r="AK297" s="4">
        <v>12</v>
      </c>
      <c r="AL297" s="4">
        <v>0</v>
      </c>
      <c r="AM297" s="4">
        <v>0</v>
      </c>
      <c r="AN297" s="4">
        <v>0</v>
      </c>
      <c r="AO297" s="4">
        <v>0</v>
      </c>
      <c r="AP297" s="3" t="s">
        <v>58</v>
      </c>
      <c r="AQ297" s="3" t="s">
        <v>132</v>
      </c>
      <c r="AR297" s="6" t="str">
        <f>HYPERLINK("http://catalog.hathitrust.org/Record/101542112","HathiTrust Record")</f>
        <v>HathiTrust Record</v>
      </c>
      <c r="AS297" s="6" t="str">
        <f>HYPERLINK("https://creighton-primo.hosted.exlibrisgroup.com/primo-explore/search?tab=default_tab&amp;search_scope=EVERYTHING&amp;vid=01CRU&amp;lang=en_US&amp;offset=0&amp;query=any,contains,991001044759702656","Catalog Record")</f>
        <v>Catalog Record</v>
      </c>
      <c r="AT297" s="6" t="str">
        <f>HYPERLINK("http://www.worldcat.org/oclc/17209340","WorldCat Record")</f>
        <v>WorldCat Record</v>
      </c>
      <c r="AU297" s="3" t="s">
        <v>3808</v>
      </c>
      <c r="AV297" s="3" t="s">
        <v>3809</v>
      </c>
      <c r="AW297" s="3" t="s">
        <v>3810</v>
      </c>
      <c r="AX297" s="3" t="s">
        <v>3810</v>
      </c>
      <c r="AY297" s="3" t="s">
        <v>3811</v>
      </c>
      <c r="AZ297" s="3" t="s">
        <v>75</v>
      </c>
      <c r="BB297" s="3" t="s">
        <v>3812</v>
      </c>
      <c r="BC297" s="3" t="s">
        <v>3813</v>
      </c>
      <c r="BD297" s="3" t="s">
        <v>3814</v>
      </c>
    </row>
    <row r="298" spans="1:56" ht="39" customHeight="1" x14ac:dyDescent="0.25">
      <c r="A298" s="7" t="s">
        <v>58</v>
      </c>
      <c r="B298" s="2" t="s">
        <v>3815</v>
      </c>
      <c r="C298" s="2" t="s">
        <v>3816</v>
      </c>
      <c r="D298" s="2" t="s">
        <v>3817</v>
      </c>
      <c r="F298" s="3" t="s">
        <v>58</v>
      </c>
      <c r="G298" s="3" t="s">
        <v>59</v>
      </c>
      <c r="H298" s="3" t="s">
        <v>58</v>
      </c>
      <c r="I298" s="3" t="s">
        <v>58</v>
      </c>
      <c r="J298" s="3" t="s">
        <v>60</v>
      </c>
      <c r="K298" s="2" t="s">
        <v>3818</v>
      </c>
      <c r="L298" s="2" t="s">
        <v>3819</v>
      </c>
      <c r="M298" s="3" t="s">
        <v>144</v>
      </c>
      <c r="O298" s="3" t="s">
        <v>65</v>
      </c>
      <c r="P298" s="3" t="s">
        <v>113</v>
      </c>
      <c r="R298" s="3" t="s">
        <v>68</v>
      </c>
      <c r="S298" s="4">
        <v>1</v>
      </c>
      <c r="T298" s="4">
        <v>1</v>
      </c>
      <c r="U298" s="5" t="s">
        <v>3807</v>
      </c>
      <c r="V298" s="5" t="s">
        <v>3807</v>
      </c>
      <c r="W298" s="5" t="s">
        <v>698</v>
      </c>
      <c r="X298" s="5" t="s">
        <v>698</v>
      </c>
      <c r="Y298" s="4">
        <v>47</v>
      </c>
      <c r="Z298" s="4">
        <v>43</v>
      </c>
      <c r="AA298" s="4">
        <v>45</v>
      </c>
      <c r="AB298" s="4">
        <v>1</v>
      </c>
      <c r="AC298" s="4">
        <v>1</v>
      </c>
      <c r="AD298" s="4">
        <v>9</v>
      </c>
      <c r="AE298" s="4">
        <v>9</v>
      </c>
      <c r="AF298" s="4">
        <v>0</v>
      </c>
      <c r="AG298" s="4">
        <v>0</v>
      </c>
      <c r="AH298" s="4">
        <v>5</v>
      </c>
      <c r="AI298" s="4">
        <v>5</v>
      </c>
      <c r="AJ298" s="4">
        <v>7</v>
      </c>
      <c r="AK298" s="4">
        <v>7</v>
      </c>
      <c r="AL298" s="4">
        <v>0</v>
      </c>
      <c r="AM298" s="4">
        <v>0</v>
      </c>
      <c r="AN298" s="4">
        <v>0</v>
      </c>
      <c r="AO298" s="4">
        <v>0</v>
      </c>
      <c r="AP298" s="3" t="s">
        <v>58</v>
      </c>
      <c r="AQ298" s="3" t="s">
        <v>58</v>
      </c>
      <c r="AS298" s="6" t="str">
        <f>HYPERLINK("https://creighton-primo.hosted.exlibrisgroup.com/primo-explore/search?tab=default_tab&amp;search_scope=EVERYTHING&amp;vid=01CRU&amp;lang=en_US&amp;offset=0&amp;query=any,contains,991004623559702656","Catalog Record")</f>
        <v>Catalog Record</v>
      </c>
      <c r="AT298" s="6" t="str">
        <f>HYPERLINK("http://www.worldcat.org/oclc/4318501","WorldCat Record")</f>
        <v>WorldCat Record</v>
      </c>
      <c r="AU298" s="3" t="s">
        <v>3820</v>
      </c>
      <c r="AV298" s="3" t="s">
        <v>3821</v>
      </c>
      <c r="AW298" s="3" t="s">
        <v>3822</v>
      </c>
      <c r="AX298" s="3" t="s">
        <v>3822</v>
      </c>
      <c r="AY298" s="3" t="s">
        <v>3823</v>
      </c>
      <c r="AZ298" s="3" t="s">
        <v>75</v>
      </c>
      <c r="BC298" s="3" t="s">
        <v>3824</v>
      </c>
      <c r="BD298" s="3" t="s">
        <v>3825</v>
      </c>
    </row>
    <row r="299" spans="1:56" ht="39" customHeight="1" x14ac:dyDescent="0.25">
      <c r="A299" s="7" t="s">
        <v>58</v>
      </c>
      <c r="B299" s="2" t="s">
        <v>3826</v>
      </c>
      <c r="C299" s="2" t="s">
        <v>3827</v>
      </c>
      <c r="D299" s="2" t="s">
        <v>3828</v>
      </c>
      <c r="F299" s="3" t="s">
        <v>58</v>
      </c>
      <c r="G299" s="3" t="s">
        <v>59</v>
      </c>
      <c r="H299" s="3" t="s">
        <v>58</v>
      </c>
      <c r="I299" s="3" t="s">
        <v>58</v>
      </c>
      <c r="J299" s="3" t="s">
        <v>60</v>
      </c>
      <c r="K299" s="2" t="s">
        <v>3630</v>
      </c>
      <c r="L299" s="2" t="s">
        <v>3829</v>
      </c>
      <c r="M299" s="3" t="s">
        <v>157</v>
      </c>
      <c r="O299" s="3" t="s">
        <v>65</v>
      </c>
      <c r="P299" s="3" t="s">
        <v>477</v>
      </c>
      <c r="R299" s="3" t="s">
        <v>68</v>
      </c>
      <c r="S299" s="4">
        <v>1</v>
      </c>
      <c r="T299" s="4">
        <v>1</v>
      </c>
      <c r="U299" s="5" t="s">
        <v>3830</v>
      </c>
      <c r="V299" s="5" t="s">
        <v>3830</v>
      </c>
      <c r="W299" s="5" t="s">
        <v>3830</v>
      </c>
      <c r="X299" s="5" t="s">
        <v>3830</v>
      </c>
      <c r="Y299" s="4">
        <v>15</v>
      </c>
      <c r="Z299" s="4">
        <v>15</v>
      </c>
      <c r="AA299" s="4">
        <v>192</v>
      </c>
      <c r="AB299" s="4">
        <v>1</v>
      </c>
      <c r="AC299" s="4">
        <v>2</v>
      </c>
      <c r="AD299" s="4">
        <v>1</v>
      </c>
      <c r="AE299" s="4">
        <v>8</v>
      </c>
      <c r="AF299" s="4">
        <v>1</v>
      </c>
      <c r="AG299" s="4">
        <v>4</v>
      </c>
      <c r="AH299" s="4">
        <v>0</v>
      </c>
      <c r="AI299" s="4">
        <v>2</v>
      </c>
      <c r="AJ299" s="4">
        <v>1</v>
      </c>
      <c r="AK299" s="4">
        <v>2</v>
      </c>
      <c r="AL299" s="4">
        <v>0</v>
      </c>
      <c r="AM299" s="4">
        <v>1</v>
      </c>
      <c r="AN299" s="4">
        <v>0</v>
      </c>
      <c r="AO299" s="4">
        <v>0</v>
      </c>
      <c r="AP299" s="3" t="s">
        <v>58</v>
      </c>
      <c r="AQ299" s="3" t="s">
        <v>58</v>
      </c>
      <c r="AS299" s="6" t="str">
        <f>HYPERLINK("https://creighton-primo.hosted.exlibrisgroup.com/primo-explore/search?tab=default_tab&amp;search_scope=EVERYTHING&amp;vid=01CRU&amp;lang=en_US&amp;offset=0&amp;query=any,contains,991000017599702656","Catalog Record")</f>
        <v>Catalog Record</v>
      </c>
      <c r="AT299" s="6" t="str">
        <f>HYPERLINK("http://www.worldcat.org/oclc/8451141","WorldCat Record")</f>
        <v>WorldCat Record</v>
      </c>
      <c r="AU299" s="3" t="s">
        <v>3831</v>
      </c>
      <c r="AV299" s="3" t="s">
        <v>3832</v>
      </c>
      <c r="AW299" s="3" t="s">
        <v>3833</v>
      </c>
      <c r="AX299" s="3" t="s">
        <v>3833</v>
      </c>
      <c r="AY299" s="3" t="s">
        <v>3834</v>
      </c>
      <c r="AZ299" s="3" t="s">
        <v>75</v>
      </c>
      <c r="BB299" s="3" t="s">
        <v>3835</v>
      </c>
      <c r="BC299" s="3" t="s">
        <v>3836</v>
      </c>
      <c r="BD299" s="3" t="s">
        <v>3837</v>
      </c>
    </row>
    <row r="300" spans="1:56" ht="39" customHeight="1" x14ac:dyDescent="0.25">
      <c r="A300" s="7" t="s">
        <v>58</v>
      </c>
      <c r="B300" s="2" t="s">
        <v>3838</v>
      </c>
      <c r="C300" s="2" t="s">
        <v>3839</v>
      </c>
      <c r="D300" s="2" t="s">
        <v>3840</v>
      </c>
      <c r="F300" s="3" t="s">
        <v>58</v>
      </c>
      <c r="G300" s="3" t="s">
        <v>59</v>
      </c>
      <c r="H300" s="3" t="s">
        <v>58</v>
      </c>
      <c r="I300" s="3" t="s">
        <v>58</v>
      </c>
      <c r="J300" s="3" t="s">
        <v>60</v>
      </c>
      <c r="L300" s="2" t="s">
        <v>3841</v>
      </c>
      <c r="M300" s="3" t="s">
        <v>1302</v>
      </c>
      <c r="O300" s="3" t="s">
        <v>65</v>
      </c>
      <c r="P300" s="3" t="s">
        <v>66</v>
      </c>
      <c r="R300" s="3" t="s">
        <v>68</v>
      </c>
      <c r="S300" s="4">
        <v>7</v>
      </c>
      <c r="T300" s="4">
        <v>7</v>
      </c>
      <c r="U300" s="5" t="s">
        <v>3842</v>
      </c>
      <c r="V300" s="5" t="s">
        <v>3842</v>
      </c>
      <c r="W300" s="5" t="s">
        <v>3843</v>
      </c>
      <c r="X300" s="5" t="s">
        <v>3843</v>
      </c>
      <c r="Y300" s="4">
        <v>408</v>
      </c>
      <c r="Z300" s="4">
        <v>316</v>
      </c>
      <c r="AA300" s="4">
        <v>318</v>
      </c>
      <c r="AB300" s="4">
        <v>3</v>
      </c>
      <c r="AC300" s="4">
        <v>3</v>
      </c>
      <c r="AD300" s="4">
        <v>20</v>
      </c>
      <c r="AE300" s="4">
        <v>20</v>
      </c>
      <c r="AF300" s="4">
        <v>9</v>
      </c>
      <c r="AG300" s="4">
        <v>9</v>
      </c>
      <c r="AH300" s="4">
        <v>6</v>
      </c>
      <c r="AI300" s="4">
        <v>6</v>
      </c>
      <c r="AJ300" s="4">
        <v>8</v>
      </c>
      <c r="AK300" s="4">
        <v>8</v>
      </c>
      <c r="AL300" s="4">
        <v>2</v>
      </c>
      <c r="AM300" s="4">
        <v>2</v>
      </c>
      <c r="AN300" s="4">
        <v>0</v>
      </c>
      <c r="AO300" s="4">
        <v>0</v>
      </c>
      <c r="AP300" s="3" t="s">
        <v>58</v>
      </c>
      <c r="AQ300" s="3" t="s">
        <v>132</v>
      </c>
      <c r="AR300" s="6" t="str">
        <f>HYPERLINK("http://catalog.hathitrust.org/Record/004228156","HathiTrust Record")</f>
        <v>HathiTrust Record</v>
      </c>
      <c r="AS300" s="6" t="str">
        <f>HYPERLINK("https://creighton-primo.hosted.exlibrisgroup.com/primo-explore/search?tab=default_tab&amp;search_scope=EVERYTHING&amp;vid=01CRU&amp;lang=en_US&amp;offset=0&amp;query=any,contains,991003865949702656","Catalog Record")</f>
        <v>Catalog Record</v>
      </c>
      <c r="AT300" s="6" t="str">
        <f>HYPERLINK("http://www.worldcat.org/oclc/47824041","WorldCat Record")</f>
        <v>WorldCat Record</v>
      </c>
      <c r="AU300" s="3" t="s">
        <v>3844</v>
      </c>
      <c r="AV300" s="3" t="s">
        <v>3845</v>
      </c>
      <c r="AW300" s="3" t="s">
        <v>3846</v>
      </c>
      <c r="AX300" s="3" t="s">
        <v>3846</v>
      </c>
      <c r="AY300" s="3" t="s">
        <v>3847</v>
      </c>
      <c r="AZ300" s="3" t="s">
        <v>75</v>
      </c>
      <c r="BB300" s="3" t="s">
        <v>3848</v>
      </c>
      <c r="BC300" s="3" t="s">
        <v>3849</v>
      </c>
      <c r="BD300" s="3" t="s">
        <v>3850</v>
      </c>
    </row>
    <row r="301" spans="1:56" ht="39" customHeight="1" x14ac:dyDescent="0.25">
      <c r="A301" s="7" t="s">
        <v>58</v>
      </c>
      <c r="B301" s="2" t="s">
        <v>3851</v>
      </c>
      <c r="C301" s="2" t="s">
        <v>3852</v>
      </c>
      <c r="D301" s="2" t="s">
        <v>3853</v>
      </c>
      <c r="F301" s="3" t="s">
        <v>58</v>
      </c>
      <c r="G301" s="3" t="s">
        <v>59</v>
      </c>
      <c r="H301" s="3" t="s">
        <v>58</v>
      </c>
      <c r="I301" s="3" t="s">
        <v>58</v>
      </c>
      <c r="J301" s="3" t="s">
        <v>60</v>
      </c>
      <c r="K301" s="2" t="s">
        <v>3854</v>
      </c>
      <c r="L301" s="2" t="s">
        <v>3855</v>
      </c>
      <c r="M301" s="3" t="s">
        <v>172</v>
      </c>
      <c r="O301" s="3" t="s">
        <v>65</v>
      </c>
      <c r="P301" s="3" t="s">
        <v>186</v>
      </c>
      <c r="R301" s="3" t="s">
        <v>68</v>
      </c>
      <c r="S301" s="4">
        <v>3</v>
      </c>
      <c r="T301" s="4">
        <v>3</v>
      </c>
      <c r="U301" s="5" t="s">
        <v>3856</v>
      </c>
      <c r="V301" s="5" t="s">
        <v>3856</v>
      </c>
      <c r="W301" s="5" t="s">
        <v>698</v>
      </c>
      <c r="X301" s="5" t="s">
        <v>698</v>
      </c>
      <c r="Y301" s="4">
        <v>304</v>
      </c>
      <c r="Z301" s="4">
        <v>284</v>
      </c>
      <c r="AA301" s="4">
        <v>637</v>
      </c>
      <c r="AB301" s="4">
        <v>2</v>
      </c>
      <c r="AC301" s="4">
        <v>5</v>
      </c>
      <c r="AD301" s="4">
        <v>12</v>
      </c>
      <c r="AE301" s="4">
        <v>21</v>
      </c>
      <c r="AF301" s="4">
        <v>4</v>
      </c>
      <c r="AG301" s="4">
        <v>7</v>
      </c>
      <c r="AH301" s="4">
        <v>1</v>
      </c>
      <c r="AI301" s="4">
        <v>3</v>
      </c>
      <c r="AJ301" s="4">
        <v>7</v>
      </c>
      <c r="AK301" s="4">
        <v>10</v>
      </c>
      <c r="AL301" s="4">
        <v>1</v>
      </c>
      <c r="AM301" s="4">
        <v>4</v>
      </c>
      <c r="AN301" s="4">
        <v>0</v>
      </c>
      <c r="AO301" s="4">
        <v>0</v>
      </c>
      <c r="AP301" s="3" t="s">
        <v>58</v>
      </c>
      <c r="AQ301" s="3" t="s">
        <v>132</v>
      </c>
      <c r="AR301" s="6" t="str">
        <f>HYPERLINK("http://catalog.hathitrust.org/Record/004508845","HathiTrust Record")</f>
        <v>HathiTrust Record</v>
      </c>
      <c r="AS301" s="6" t="str">
        <f>HYPERLINK("https://creighton-primo.hosted.exlibrisgroup.com/primo-explore/search?tab=default_tab&amp;search_scope=EVERYTHING&amp;vid=01CRU&amp;lang=en_US&amp;offset=0&amp;query=any,contains,991000826869702656","Catalog Record")</f>
        <v>Catalog Record</v>
      </c>
      <c r="AT301" s="6" t="str">
        <f>HYPERLINK("http://www.worldcat.org/oclc/146406","WorldCat Record")</f>
        <v>WorldCat Record</v>
      </c>
      <c r="AU301" s="3" t="s">
        <v>3857</v>
      </c>
      <c r="AV301" s="3" t="s">
        <v>3858</v>
      </c>
      <c r="AW301" s="3" t="s">
        <v>3859</v>
      </c>
      <c r="AX301" s="3" t="s">
        <v>3859</v>
      </c>
      <c r="AY301" s="3" t="s">
        <v>3860</v>
      </c>
      <c r="AZ301" s="3" t="s">
        <v>75</v>
      </c>
      <c r="BC301" s="3" t="s">
        <v>3861</v>
      </c>
      <c r="BD301" s="3" t="s">
        <v>3862</v>
      </c>
    </row>
    <row r="302" spans="1:56" ht="39" customHeight="1" x14ac:dyDescent="0.25">
      <c r="A302" s="7" t="s">
        <v>58</v>
      </c>
      <c r="B302" s="2" t="s">
        <v>3863</v>
      </c>
      <c r="C302" s="2" t="s">
        <v>3864</v>
      </c>
      <c r="D302" s="2" t="s">
        <v>3865</v>
      </c>
      <c r="F302" s="3" t="s">
        <v>58</v>
      </c>
      <c r="G302" s="3" t="s">
        <v>59</v>
      </c>
      <c r="H302" s="3" t="s">
        <v>58</v>
      </c>
      <c r="I302" s="3" t="s">
        <v>58</v>
      </c>
      <c r="J302" s="3" t="s">
        <v>60</v>
      </c>
      <c r="K302" s="2" t="s">
        <v>3866</v>
      </c>
      <c r="L302" s="2" t="s">
        <v>3867</v>
      </c>
      <c r="M302" s="3" t="s">
        <v>781</v>
      </c>
      <c r="N302" s="2" t="s">
        <v>476</v>
      </c>
      <c r="O302" s="3" t="s">
        <v>65</v>
      </c>
      <c r="P302" s="3" t="s">
        <v>3868</v>
      </c>
      <c r="R302" s="3" t="s">
        <v>68</v>
      </c>
      <c r="S302" s="4">
        <v>2</v>
      </c>
      <c r="T302" s="4">
        <v>2</v>
      </c>
      <c r="U302" s="5" t="s">
        <v>3869</v>
      </c>
      <c r="V302" s="5" t="s">
        <v>3869</v>
      </c>
      <c r="W302" s="5" t="s">
        <v>698</v>
      </c>
      <c r="X302" s="5" t="s">
        <v>698</v>
      </c>
      <c r="Y302" s="4">
        <v>61</v>
      </c>
      <c r="Z302" s="4">
        <v>58</v>
      </c>
      <c r="AA302" s="4">
        <v>58</v>
      </c>
      <c r="AB302" s="4">
        <v>1</v>
      </c>
      <c r="AC302" s="4">
        <v>1</v>
      </c>
      <c r="AD302" s="4">
        <v>7</v>
      </c>
      <c r="AE302" s="4">
        <v>7</v>
      </c>
      <c r="AF302" s="4">
        <v>3</v>
      </c>
      <c r="AG302" s="4">
        <v>3</v>
      </c>
      <c r="AH302" s="4">
        <v>2</v>
      </c>
      <c r="AI302" s="4">
        <v>2</v>
      </c>
      <c r="AJ302" s="4">
        <v>7</v>
      </c>
      <c r="AK302" s="4">
        <v>7</v>
      </c>
      <c r="AL302" s="4">
        <v>0</v>
      </c>
      <c r="AM302" s="4">
        <v>0</v>
      </c>
      <c r="AN302" s="4">
        <v>0</v>
      </c>
      <c r="AO302" s="4">
        <v>0</v>
      </c>
      <c r="AP302" s="3" t="s">
        <v>58</v>
      </c>
      <c r="AQ302" s="3" t="s">
        <v>58</v>
      </c>
      <c r="AS302" s="6" t="str">
        <f>HYPERLINK("https://creighton-primo.hosted.exlibrisgroup.com/primo-explore/search?tab=default_tab&amp;search_scope=EVERYTHING&amp;vid=01CRU&amp;lang=en_US&amp;offset=0&amp;query=any,contains,991000799569702656","Catalog Record")</f>
        <v>Catalog Record</v>
      </c>
      <c r="AT302" s="6" t="str">
        <f>HYPERLINK("http://www.worldcat.org/oclc/13217983","WorldCat Record")</f>
        <v>WorldCat Record</v>
      </c>
      <c r="AU302" s="3" t="s">
        <v>3870</v>
      </c>
      <c r="AV302" s="3" t="s">
        <v>3871</v>
      </c>
      <c r="AW302" s="3" t="s">
        <v>3872</v>
      </c>
      <c r="AX302" s="3" t="s">
        <v>3872</v>
      </c>
      <c r="AY302" s="3" t="s">
        <v>3873</v>
      </c>
      <c r="AZ302" s="3" t="s">
        <v>75</v>
      </c>
      <c r="BB302" s="3" t="s">
        <v>3874</v>
      </c>
      <c r="BC302" s="3" t="s">
        <v>3875</v>
      </c>
      <c r="BD302" s="3" t="s">
        <v>3876</v>
      </c>
    </row>
    <row r="303" spans="1:56" ht="39" customHeight="1" x14ac:dyDescent="0.25">
      <c r="A303" s="7" t="s">
        <v>58</v>
      </c>
      <c r="B303" s="2" t="s">
        <v>3877</v>
      </c>
      <c r="C303" s="2" t="s">
        <v>3878</v>
      </c>
      <c r="D303" s="2" t="s">
        <v>3879</v>
      </c>
      <c r="F303" s="3" t="s">
        <v>58</v>
      </c>
      <c r="G303" s="3" t="s">
        <v>59</v>
      </c>
      <c r="H303" s="3" t="s">
        <v>58</v>
      </c>
      <c r="I303" s="3" t="s">
        <v>58</v>
      </c>
      <c r="J303" s="3" t="s">
        <v>60</v>
      </c>
      <c r="K303" s="2" t="s">
        <v>3880</v>
      </c>
      <c r="L303" s="2" t="s">
        <v>3881</v>
      </c>
      <c r="M303" s="3" t="s">
        <v>3882</v>
      </c>
      <c r="O303" s="3" t="s">
        <v>65</v>
      </c>
      <c r="P303" s="3" t="s">
        <v>186</v>
      </c>
      <c r="R303" s="3" t="s">
        <v>68</v>
      </c>
      <c r="S303" s="4">
        <v>4</v>
      </c>
      <c r="T303" s="4">
        <v>4</v>
      </c>
      <c r="U303" s="5" t="s">
        <v>3883</v>
      </c>
      <c r="V303" s="5" t="s">
        <v>3883</v>
      </c>
      <c r="W303" s="5" t="s">
        <v>698</v>
      </c>
      <c r="X303" s="5" t="s">
        <v>698</v>
      </c>
      <c r="Y303" s="4">
        <v>179</v>
      </c>
      <c r="Z303" s="4">
        <v>162</v>
      </c>
      <c r="AA303" s="4">
        <v>214</v>
      </c>
      <c r="AB303" s="4">
        <v>1</v>
      </c>
      <c r="AC303" s="4">
        <v>2</v>
      </c>
      <c r="AD303" s="4">
        <v>20</v>
      </c>
      <c r="AE303" s="4">
        <v>23</v>
      </c>
      <c r="AF303" s="4">
        <v>5</v>
      </c>
      <c r="AG303" s="4">
        <v>7</v>
      </c>
      <c r="AH303" s="4">
        <v>6</v>
      </c>
      <c r="AI303" s="4">
        <v>7</v>
      </c>
      <c r="AJ303" s="4">
        <v>16</v>
      </c>
      <c r="AK303" s="4">
        <v>18</v>
      </c>
      <c r="AL303" s="4">
        <v>0</v>
      </c>
      <c r="AM303" s="4">
        <v>0</v>
      </c>
      <c r="AN303" s="4">
        <v>0</v>
      </c>
      <c r="AO303" s="4">
        <v>0</v>
      </c>
      <c r="AP303" s="3" t="s">
        <v>58</v>
      </c>
      <c r="AQ303" s="3" t="s">
        <v>132</v>
      </c>
      <c r="AR303" s="6" t="str">
        <f>HYPERLINK("http://catalog.hathitrust.org/Record/005792554","HathiTrust Record")</f>
        <v>HathiTrust Record</v>
      </c>
      <c r="AS303" s="6" t="str">
        <f>HYPERLINK("https://creighton-primo.hosted.exlibrisgroup.com/primo-explore/search?tab=default_tab&amp;search_scope=EVERYTHING&amp;vid=01CRU&amp;lang=en_US&amp;offset=0&amp;query=any,contains,991003935459702656","Catalog Record")</f>
        <v>Catalog Record</v>
      </c>
      <c r="AT303" s="6" t="str">
        <f>HYPERLINK("http://www.worldcat.org/oclc/1912287","WorldCat Record")</f>
        <v>WorldCat Record</v>
      </c>
      <c r="AU303" s="3" t="s">
        <v>3884</v>
      </c>
      <c r="AV303" s="3" t="s">
        <v>3885</v>
      </c>
      <c r="AW303" s="3" t="s">
        <v>3886</v>
      </c>
      <c r="AX303" s="3" t="s">
        <v>3886</v>
      </c>
      <c r="AY303" s="3" t="s">
        <v>3887</v>
      </c>
      <c r="AZ303" s="3" t="s">
        <v>75</v>
      </c>
      <c r="BC303" s="3" t="s">
        <v>3888</v>
      </c>
      <c r="BD303" s="3" t="s">
        <v>3889</v>
      </c>
    </row>
    <row r="304" spans="1:56" ht="39" customHeight="1" x14ac:dyDescent="0.25">
      <c r="A304" s="7" t="s">
        <v>58</v>
      </c>
      <c r="B304" s="2" t="s">
        <v>3890</v>
      </c>
      <c r="C304" s="2" t="s">
        <v>3891</v>
      </c>
      <c r="D304" s="2" t="s">
        <v>3892</v>
      </c>
      <c r="F304" s="3" t="s">
        <v>58</v>
      </c>
      <c r="G304" s="3" t="s">
        <v>59</v>
      </c>
      <c r="H304" s="3" t="s">
        <v>58</v>
      </c>
      <c r="I304" s="3" t="s">
        <v>58</v>
      </c>
      <c r="J304" s="3" t="s">
        <v>60</v>
      </c>
      <c r="K304" s="2" t="s">
        <v>3893</v>
      </c>
      <c r="L304" s="2" t="s">
        <v>3894</v>
      </c>
      <c r="M304" s="3" t="s">
        <v>781</v>
      </c>
      <c r="O304" s="3" t="s">
        <v>65</v>
      </c>
      <c r="P304" s="3" t="s">
        <v>113</v>
      </c>
      <c r="Q304" s="2" t="s">
        <v>3895</v>
      </c>
      <c r="R304" s="3" t="s">
        <v>68</v>
      </c>
      <c r="S304" s="4">
        <v>1</v>
      </c>
      <c r="T304" s="4">
        <v>1</v>
      </c>
      <c r="U304" s="5" t="s">
        <v>3896</v>
      </c>
      <c r="V304" s="5" t="s">
        <v>3896</v>
      </c>
      <c r="W304" s="5" t="s">
        <v>698</v>
      </c>
      <c r="X304" s="5" t="s">
        <v>698</v>
      </c>
      <c r="Y304" s="4">
        <v>44</v>
      </c>
      <c r="Z304" s="4">
        <v>44</v>
      </c>
      <c r="AA304" s="4">
        <v>48</v>
      </c>
      <c r="AB304" s="4">
        <v>1</v>
      </c>
      <c r="AC304" s="4">
        <v>1</v>
      </c>
      <c r="AD304" s="4">
        <v>7</v>
      </c>
      <c r="AE304" s="4">
        <v>7</v>
      </c>
      <c r="AF304" s="4">
        <v>3</v>
      </c>
      <c r="AG304" s="4">
        <v>3</v>
      </c>
      <c r="AH304" s="4">
        <v>1</v>
      </c>
      <c r="AI304" s="4">
        <v>1</v>
      </c>
      <c r="AJ304" s="4">
        <v>6</v>
      </c>
      <c r="AK304" s="4">
        <v>6</v>
      </c>
      <c r="AL304" s="4">
        <v>0</v>
      </c>
      <c r="AM304" s="4">
        <v>0</v>
      </c>
      <c r="AN304" s="4">
        <v>0</v>
      </c>
      <c r="AO304" s="4">
        <v>0</v>
      </c>
      <c r="AP304" s="3" t="s">
        <v>58</v>
      </c>
      <c r="AQ304" s="3" t="s">
        <v>58</v>
      </c>
      <c r="AS304" s="6" t="str">
        <f>HYPERLINK("https://creighton-primo.hosted.exlibrisgroup.com/primo-explore/search?tab=default_tab&amp;search_scope=EVERYTHING&amp;vid=01CRU&amp;lang=en_US&amp;offset=0&amp;query=any,contains,991000735559702656","Catalog Record")</f>
        <v>Catalog Record</v>
      </c>
      <c r="AT304" s="6" t="str">
        <f>HYPERLINK("http://www.worldcat.org/oclc/12769119","WorldCat Record")</f>
        <v>WorldCat Record</v>
      </c>
      <c r="AU304" s="3" t="s">
        <v>3897</v>
      </c>
      <c r="AV304" s="3" t="s">
        <v>3898</v>
      </c>
      <c r="AW304" s="3" t="s">
        <v>3899</v>
      </c>
      <c r="AX304" s="3" t="s">
        <v>3899</v>
      </c>
      <c r="AY304" s="3" t="s">
        <v>3900</v>
      </c>
      <c r="AZ304" s="3" t="s">
        <v>75</v>
      </c>
      <c r="BC304" s="3" t="s">
        <v>3901</v>
      </c>
      <c r="BD304" s="3" t="s">
        <v>3902</v>
      </c>
    </row>
    <row r="305" spans="1:56" ht="39" customHeight="1" x14ac:dyDescent="0.25">
      <c r="A305" s="7" t="s">
        <v>58</v>
      </c>
      <c r="B305" s="2" t="s">
        <v>3903</v>
      </c>
      <c r="C305" s="2" t="s">
        <v>3904</v>
      </c>
      <c r="D305" s="2" t="s">
        <v>3905</v>
      </c>
      <c r="F305" s="3" t="s">
        <v>58</v>
      </c>
      <c r="G305" s="3" t="s">
        <v>59</v>
      </c>
      <c r="H305" s="3" t="s">
        <v>58</v>
      </c>
      <c r="I305" s="3" t="s">
        <v>58</v>
      </c>
      <c r="J305" s="3" t="s">
        <v>60</v>
      </c>
      <c r="L305" s="2" t="s">
        <v>3906</v>
      </c>
      <c r="M305" s="3" t="s">
        <v>318</v>
      </c>
      <c r="O305" s="3" t="s">
        <v>65</v>
      </c>
      <c r="P305" s="3" t="s">
        <v>201</v>
      </c>
      <c r="R305" s="3" t="s">
        <v>68</v>
      </c>
      <c r="S305" s="4">
        <v>3</v>
      </c>
      <c r="T305" s="4">
        <v>3</v>
      </c>
      <c r="U305" s="5" t="s">
        <v>3907</v>
      </c>
      <c r="V305" s="5" t="s">
        <v>3907</v>
      </c>
      <c r="W305" s="5" t="s">
        <v>3908</v>
      </c>
      <c r="X305" s="5" t="s">
        <v>3908</v>
      </c>
      <c r="Y305" s="4">
        <v>31</v>
      </c>
      <c r="Z305" s="4">
        <v>25</v>
      </c>
      <c r="AA305" s="4">
        <v>26</v>
      </c>
      <c r="AB305" s="4">
        <v>1</v>
      </c>
      <c r="AC305" s="4">
        <v>1</v>
      </c>
      <c r="AD305" s="4">
        <v>5</v>
      </c>
      <c r="AE305" s="4">
        <v>5</v>
      </c>
      <c r="AF305" s="4">
        <v>1</v>
      </c>
      <c r="AG305" s="4">
        <v>1</v>
      </c>
      <c r="AH305" s="4">
        <v>2</v>
      </c>
      <c r="AI305" s="4">
        <v>2</v>
      </c>
      <c r="AJ305" s="4">
        <v>2</v>
      </c>
      <c r="AK305" s="4">
        <v>2</v>
      </c>
      <c r="AL305" s="4">
        <v>0</v>
      </c>
      <c r="AM305" s="4">
        <v>0</v>
      </c>
      <c r="AN305" s="4">
        <v>0</v>
      </c>
      <c r="AO305" s="4">
        <v>0</v>
      </c>
      <c r="AP305" s="3" t="s">
        <v>58</v>
      </c>
      <c r="AQ305" s="3" t="s">
        <v>58</v>
      </c>
      <c r="AS305" s="6" t="str">
        <f>HYPERLINK("https://creighton-primo.hosted.exlibrisgroup.com/primo-explore/search?tab=default_tab&amp;search_scope=EVERYTHING&amp;vid=01CRU&amp;lang=en_US&amp;offset=0&amp;query=any,contains,991005117679702656","Catalog Record")</f>
        <v>Catalog Record</v>
      </c>
      <c r="AT305" s="6" t="str">
        <f>HYPERLINK("http://www.worldcat.org/oclc/37300681","WorldCat Record")</f>
        <v>WorldCat Record</v>
      </c>
      <c r="AU305" s="3" t="s">
        <v>3909</v>
      </c>
      <c r="AV305" s="3" t="s">
        <v>3910</v>
      </c>
      <c r="AW305" s="3" t="s">
        <v>3911</v>
      </c>
      <c r="AX305" s="3" t="s">
        <v>3911</v>
      </c>
      <c r="AY305" s="3" t="s">
        <v>3912</v>
      </c>
      <c r="AZ305" s="3" t="s">
        <v>75</v>
      </c>
      <c r="BB305" s="3" t="s">
        <v>3913</v>
      </c>
      <c r="BC305" s="3" t="s">
        <v>3914</v>
      </c>
      <c r="BD305" s="3" t="s">
        <v>3915</v>
      </c>
    </row>
    <row r="306" spans="1:56" ht="39" customHeight="1" x14ac:dyDescent="0.25">
      <c r="A306" s="7" t="s">
        <v>58</v>
      </c>
      <c r="B306" s="2" t="s">
        <v>3916</v>
      </c>
      <c r="C306" s="2" t="s">
        <v>3917</v>
      </c>
      <c r="D306" s="2" t="s">
        <v>3918</v>
      </c>
      <c r="F306" s="3" t="s">
        <v>58</v>
      </c>
      <c r="G306" s="3" t="s">
        <v>59</v>
      </c>
      <c r="H306" s="3" t="s">
        <v>58</v>
      </c>
      <c r="I306" s="3" t="s">
        <v>58</v>
      </c>
      <c r="J306" s="3" t="s">
        <v>60</v>
      </c>
      <c r="L306" s="2" t="s">
        <v>3919</v>
      </c>
      <c r="M306" s="3" t="s">
        <v>3920</v>
      </c>
      <c r="O306" s="3" t="s">
        <v>65</v>
      </c>
      <c r="P306" s="3" t="s">
        <v>113</v>
      </c>
      <c r="R306" s="3" t="s">
        <v>68</v>
      </c>
      <c r="S306" s="4">
        <v>3</v>
      </c>
      <c r="T306" s="4">
        <v>3</v>
      </c>
      <c r="U306" s="5" t="s">
        <v>3699</v>
      </c>
      <c r="V306" s="5" t="s">
        <v>3699</v>
      </c>
      <c r="W306" s="5" t="s">
        <v>3921</v>
      </c>
      <c r="X306" s="5" t="s">
        <v>3921</v>
      </c>
      <c r="Y306" s="4">
        <v>20</v>
      </c>
      <c r="Z306" s="4">
        <v>19</v>
      </c>
      <c r="AA306" s="4">
        <v>19</v>
      </c>
      <c r="AB306" s="4">
        <v>1</v>
      </c>
      <c r="AC306" s="4">
        <v>1</v>
      </c>
      <c r="AD306" s="4">
        <v>5</v>
      </c>
      <c r="AE306" s="4">
        <v>5</v>
      </c>
      <c r="AF306" s="4">
        <v>2</v>
      </c>
      <c r="AG306" s="4">
        <v>2</v>
      </c>
      <c r="AH306" s="4">
        <v>1</v>
      </c>
      <c r="AI306" s="4">
        <v>1</v>
      </c>
      <c r="AJ306" s="4">
        <v>3</v>
      </c>
      <c r="AK306" s="4">
        <v>3</v>
      </c>
      <c r="AL306" s="4">
        <v>0</v>
      </c>
      <c r="AM306" s="4">
        <v>0</v>
      </c>
      <c r="AN306" s="4">
        <v>0</v>
      </c>
      <c r="AO306" s="4">
        <v>0</v>
      </c>
      <c r="AP306" s="3" t="s">
        <v>58</v>
      </c>
      <c r="AQ306" s="3" t="s">
        <v>58</v>
      </c>
      <c r="AS306" s="6" t="str">
        <f>HYPERLINK("https://creighton-primo.hosted.exlibrisgroup.com/primo-explore/search?tab=default_tab&amp;search_scope=EVERYTHING&amp;vid=01CRU&amp;lang=en_US&amp;offset=0&amp;query=any,contains,991004721599702656","Catalog Record")</f>
        <v>Catalog Record</v>
      </c>
      <c r="AT306" s="6" t="str">
        <f>HYPERLINK("http://www.worldcat.org/oclc/63544613","WorldCat Record")</f>
        <v>WorldCat Record</v>
      </c>
      <c r="AU306" s="3" t="s">
        <v>3922</v>
      </c>
      <c r="AV306" s="3" t="s">
        <v>3923</v>
      </c>
      <c r="AW306" s="3" t="s">
        <v>3924</v>
      </c>
      <c r="AX306" s="3" t="s">
        <v>3924</v>
      </c>
      <c r="AY306" s="3" t="s">
        <v>3925</v>
      </c>
      <c r="AZ306" s="3" t="s">
        <v>75</v>
      </c>
      <c r="BB306" s="3" t="s">
        <v>3926</v>
      </c>
      <c r="BC306" s="3" t="s">
        <v>3927</v>
      </c>
      <c r="BD306" s="3" t="s">
        <v>3928</v>
      </c>
    </row>
    <row r="307" spans="1:56" ht="39" customHeight="1" x14ac:dyDescent="0.25">
      <c r="A307" s="7" t="s">
        <v>58</v>
      </c>
      <c r="B307" s="2" t="s">
        <v>3929</v>
      </c>
      <c r="C307" s="2" t="s">
        <v>3930</v>
      </c>
      <c r="D307" s="2" t="s">
        <v>3931</v>
      </c>
      <c r="F307" s="3" t="s">
        <v>58</v>
      </c>
      <c r="G307" s="3" t="s">
        <v>59</v>
      </c>
      <c r="H307" s="3" t="s">
        <v>58</v>
      </c>
      <c r="I307" s="3" t="s">
        <v>58</v>
      </c>
      <c r="J307" s="3" t="s">
        <v>60</v>
      </c>
      <c r="K307" s="2" t="s">
        <v>3932</v>
      </c>
      <c r="L307" s="2" t="s">
        <v>3933</v>
      </c>
      <c r="M307" s="3" t="s">
        <v>871</v>
      </c>
      <c r="O307" s="3" t="s">
        <v>65</v>
      </c>
      <c r="P307" s="3" t="s">
        <v>304</v>
      </c>
      <c r="Q307" s="2" t="s">
        <v>3934</v>
      </c>
      <c r="R307" s="3" t="s">
        <v>68</v>
      </c>
      <c r="S307" s="4">
        <v>1</v>
      </c>
      <c r="T307" s="4">
        <v>1</v>
      </c>
      <c r="U307" s="5" t="s">
        <v>3935</v>
      </c>
      <c r="V307" s="5" t="s">
        <v>3935</v>
      </c>
      <c r="W307" s="5" t="s">
        <v>698</v>
      </c>
      <c r="X307" s="5" t="s">
        <v>698</v>
      </c>
      <c r="Y307" s="4">
        <v>362</v>
      </c>
      <c r="Z307" s="4">
        <v>333</v>
      </c>
      <c r="AA307" s="4">
        <v>340</v>
      </c>
      <c r="AB307" s="4">
        <v>2</v>
      </c>
      <c r="AC307" s="4">
        <v>2</v>
      </c>
      <c r="AD307" s="4">
        <v>35</v>
      </c>
      <c r="AE307" s="4">
        <v>35</v>
      </c>
      <c r="AF307" s="4">
        <v>12</v>
      </c>
      <c r="AG307" s="4">
        <v>12</v>
      </c>
      <c r="AH307" s="4">
        <v>9</v>
      </c>
      <c r="AI307" s="4">
        <v>9</v>
      </c>
      <c r="AJ307" s="4">
        <v>24</v>
      </c>
      <c r="AK307" s="4">
        <v>24</v>
      </c>
      <c r="AL307" s="4">
        <v>1</v>
      </c>
      <c r="AM307" s="4">
        <v>1</v>
      </c>
      <c r="AN307" s="4">
        <v>0</v>
      </c>
      <c r="AO307" s="4">
        <v>0</v>
      </c>
      <c r="AP307" s="3" t="s">
        <v>58</v>
      </c>
      <c r="AQ307" s="3" t="s">
        <v>132</v>
      </c>
      <c r="AR307" s="6" t="str">
        <f>HYPERLINK("http://catalog.hathitrust.org/Record/101529636","HathiTrust Record")</f>
        <v>HathiTrust Record</v>
      </c>
      <c r="AS307" s="6" t="str">
        <f>HYPERLINK("https://creighton-primo.hosted.exlibrisgroup.com/primo-explore/search?tab=default_tab&amp;search_scope=EVERYTHING&amp;vid=01CRU&amp;lang=en_US&amp;offset=0&amp;query=any,contains,991004353219702656","Catalog Record")</f>
        <v>Catalog Record</v>
      </c>
      <c r="AT307" s="6" t="str">
        <f>HYPERLINK("http://www.worldcat.org/oclc/1162989","WorldCat Record")</f>
        <v>WorldCat Record</v>
      </c>
      <c r="AU307" s="3" t="s">
        <v>3936</v>
      </c>
      <c r="AV307" s="3" t="s">
        <v>3937</v>
      </c>
      <c r="AW307" s="3" t="s">
        <v>3938</v>
      </c>
      <c r="AX307" s="3" t="s">
        <v>3938</v>
      </c>
      <c r="AY307" s="3" t="s">
        <v>3939</v>
      </c>
      <c r="AZ307" s="3" t="s">
        <v>75</v>
      </c>
      <c r="BC307" s="3" t="s">
        <v>3940</v>
      </c>
      <c r="BD307" s="3" t="s">
        <v>3941</v>
      </c>
    </row>
    <row r="308" spans="1:56" ht="39" customHeight="1" x14ac:dyDescent="0.25">
      <c r="A308" s="7" t="s">
        <v>58</v>
      </c>
      <c r="B308" s="2" t="s">
        <v>3942</v>
      </c>
      <c r="C308" s="2" t="s">
        <v>3943</v>
      </c>
      <c r="D308" s="2" t="s">
        <v>3944</v>
      </c>
      <c r="F308" s="3" t="s">
        <v>58</v>
      </c>
      <c r="G308" s="3" t="s">
        <v>59</v>
      </c>
      <c r="H308" s="3" t="s">
        <v>58</v>
      </c>
      <c r="I308" s="3" t="s">
        <v>58</v>
      </c>
      <c r="J308" s="3" t="s">
        <v>60</v>
      </c>
      <c r="K308" s="2" t="s">
        <v>3945</v>
      </c>
      <c r="L308" s="2" t="s">
        <v>3946</v>
      </c>
      <c r="M308" s="3" t="s">
        <v>427</v>
      </c>
      <c r="O308" s="3" t="s">
        <v>65</v>
      </c>
      <c r="P308" s="3" t="s">
        <v>186</v>
      </c>
      <c r="R308" s="3" t="s">
        <v>68</v>
      </c>
      <c r="S308" s="4">
        <v>4</v>
      </c>
      <c r="T308" s="4">
        <v>4</v>
      </c>
      <c r="U308" s="5" t="s">
        <v>3935</v>
      </c>
      <c r="V308" s="5" t="s">
        <v>3935</v>
      </c>
      <c r="W308" s="5" t="s">
        <v>3947</v>
      </c>
      <c r="X308" s="5" t="s">
        <v>3947</v>
      </c>
      <c r="Y308" s="4">
        <v>319</v>
      </c>
      <c r="Z308" s="4">
        <v>273</v>
      </c>
      <c r="AA308" s="4">
        <v>275</v>
      </c>
      <c r="AB308" s="4">
        <v>1</v>
      </c>
      <c r="AC308" s="4">
        <v>1</v>
      </c>
      <c r="AD308" s="4">
        <v>23</v>
      </c>
      <c r="AE308" s="4">
        <v>24</v>
      </c>
      <c r="AF308" s="4">
        <v>5</v>
      </c>
      <c r="AG308" s="4">
        <v>5</v>
      </c>
      <c r="AH308" s="4">
        <v>9</v>
      </c>
      <c r="AI308" s="4">
        <v>9</v>
      </c>
      <c r="AJ308" s="4">
        <v>15</v>
      </c>
      <c r="AK308" s="4">
        <v>16</v>
      </c>
      <c r="AL308" s="4">
        <v>0</v>
      </c>
      <c r="AM308" s="4">
        <v>0</v>
      </c>
      <c r="AN308" s="4">
        <v>0</v>
      </c>
      <c r="AO308" s="4">
        <v>0</v>
      </c>
      <c r="AP308" s="3" t="s">
        <v>58</v>
      </c>
      <c r="AQ308" s="3" t="s">
        <v>58</v>
      </c>
      <c r="AS308" s="6" t="str">
        <f>HYPERLINK("https://creighton-primo.hosted.exlibrisgroup.com/primo-explore/search?tab=default_tab&amp;search_scope=EVERYTHING&amp;vid=01CRU&amp;lang=en_US&amp;offset=0&amp;query=any,contains,991004605839702656","Catalog Record")</f>
        <v>Catalog Record</v>
      </c>
      <c r="AT308" s="6" t="str">
        <f>HYPERLINK("http://www.worldcat.org/oclc/4194471","WorldCat Record")</f>
        <v>WorldCat Record</v>
      </c>
      <c r="AU308" s="3" t="s">
        <v>3948</v>
      </c>
      <c r="AV308" s="3" t="s">
        <v>3949</v>
      </c>
      <c r="AW308" s="3" t="s">
        <v>3950</v>
      </c>
      <c r="AX308" s="3" t="s">
        <v>3950</v>
      </c>
      <c r="AY308" s="3" t="s">
        <v>3951</v>
      </c>
      <c r="AZ308" s="3" t="s">
        <v>75</v>
      </c>
      <c r="BB308" s="3" t="s">
        <v>3952</v>
      </c>
      <c r="BC308" s="3" t="s">
        <v>3953</v>
      </c>
      <c r="BD308" s="3" t="s">
        <v>3954</v>
      </c>
    </row>
    <row r="309" spans="1:56" ht="39" customHeight="1" x14ac:dyDescent="0.25">
      <c r="A309" s="7" t="s">
        <v>58</v>
      </c>
      <c r="B309" s="2" t="s">
        <v>3955</v>
      </c>
      <c r="C309" s="2" t="s">
        <v>3956</v>
      </c>
      <c r="D309" s="2" t="s">
        <v>3957</v>
      </c>
      <c r="F309" s="3" t="s">
        <v>58</v>
      </c>
      <c r="G309" s="3" t="s">
        <v>59</v>
      </c>
      <c r="H309" s="3" t="s">
        <v>58</v>
      </c>
      <c r="I309" s="3" t="s">
        <v>58</v>
      </c>
      <c r="J309" s="3" t="s">
        <v>60</v>
      </c>
      <c r="K309" s="2" t="s">
        <v>3958</v>
      </c>
      <c r="L309" s="2" t="s">
        <v>3959</v>
      </c>
      <c r="M309" s="3" t="s">
        <v>439</v>
      </c>
      <c r="O309" s="3" t="s">
        <v>65</v>
      </c>
      <c r="P309" s="3" t="s">
        <v>477</v>
      </c>
      <c r="R309" s="3" t="s">
        <v>68</v>
      </c>
      <c r="S309" s="4">
        <v>2</v>
      </c>
      <c r="T309" s="4">
        <v>2</v>
      </c>
      <c r="U309" s="5" t="s">
        <v>3481</v>
      </c>
      <c r="V309" s="5" t="s">
        <v>3481</v>
      </c>
      <c r="W309" s="5" t="s">
        <v>698</v>
      </c>
      <c r="X309" s="5" t="s">
        <v>698</v>
      </c>
      <c r="Y309" s="4">
        <v>388</v>
      </c>
      <c r="Z309" s="4">
        <v>303</v>
      </c>
      <c r="AA309" s="4">
        <v>303</v>
      </c>
      <c r="AB309" s="4">
        <v>3</v>
      </c>
      <c r="AC309" s="4">
        <v>3</v>
      </c>
      <c r="AD309" s="4">
        <v>25</v>
      </c>
      <c r="AE309" s="4">
        <v>25</v>
      </c>
      <c r="AF309" s="4">
        <v>8</v>
      </c>
      <c r="AG309" s="4">
        <v>8</v>
      </c>
      <c r="AH309" s="4">
        <v>9</v>
      </c>
      <c r="AI309" s="4">
        <v>9</v>
      </c>
      <c r="AJ309" s="4">
        <v>17</v>
      </c>
      <c r="AK309" s="4">
        <v>17</v>
      </c>
      <c r="AL309" s="4">
        <v>2</v>
      </c>
      <c r="AM309" s="4">
        <v>2</v>
      </c>
      <c r="AN309" s="4">
        <v>0</v>
      </c>
      <c r="AO309" s="4">
        <v>0</v>
      </c>
      <c r="AP309" s="3" t="s">
        <v>58</v>
      </c>
      <c r="AQ309" s="3" t="s">
        <v>58</v>
      </c>
      <c r="AS309" s="6" t="str">
        <f>HYPERLINK("https://creighton-primo.hosted.exlibrisgroup.com/primo-explore/search?tab=default_tab&amp;search_scope=EVERYTHING&amp;vid=01CRU&amp;lang=en_US&amp;offset=0&amp;query=any,contains,991005078519702656","Catalog Record")</f>
        <v>Catalog Record</v>
      </c>
      <c r="AT309" s="6" t="str">
        <f>HYPERLINK("http://www.worldcat.org/oclc/7162647","WorldCat Record")</f>
        <v>WorldCat Record</v>
      </c>
      <c r="AU309" s="3" t="s">
        <v>3960</v>
      </c>
      <c r="AV309" s="3" t="s">
        <v>3961</v>
      </c>
      <c r="AW309" s="3" t="s">
        <v>3962</v>
      </c>
      <c r="AX309" s="3" t="s">
        <v>3962</v>
      </c>
      <c r="AY309" s="3" t="s">
        <v>3963</v>
      </c>
      <c r="AZ309" s="3" t="s">
        <v>75</v>
      </c>
      <c r="BB309" s="3" t="s">
        <v>3964</v>
      </c>
      <c r="BC309" s="3" t="s">
        <v>3965</v>
      </c>
      <c r="BD309" s="3" t="s">
        <v>3966</v>
      </c>
    </row>
    <row r="310" spans="1:56" ht="39" customHeight="1" x14ac:dyDescent="0.25">
      <c r="A310" s="7" t="s">
        <v>58</v>
      </c>
      <c r="B310" s="2" t="s">
        <v>3967</v>
      </c>
      <c r="C310" s="2" t="s">
        <v>3968</v>
      </c>
      <c r="D310" s="2" t="s">
        <v>3969</v>
      </c>
      <c r="F310" s="3" t="s">
        <v>58</v>
      </c>
      <c r="G310" s="3" t="s">
        <v>59</v>
      </c>
      <c r="H310" s="3" t="s">
        <v>58</v>
      </c>
      <c r="I310" s="3" t="s">
        <v>58</v>
      </c>
      <c r="J310" s="3" t="s">
        <v>60</v>
      </c>
      <c r="K310" s="2" t="s">
        <v>3970</v>
      </c>
      <c r="L310" s="2" t="s">
        <v>3971</v>
      </c>
      <c r="M310" s="3" t="s">
        <v>1371</v>
      </c>
      <c r="N310" s="2" t="s">
        <v>3972</v>
      </c>
      <c r="O310" s="3" t="s">
        <v>3973</v>
      </c>
      <c r="P310" s="3" t="s">
        <v>3974</v>
      </c>
      <c r="R310" s="3" t="s">
        <v>68</v>
      </c>
      <c r="S310" s="4">
        <v>2</v>
      </c>
      <c r="T310" s="4">
        <v>2</v>
      </c>
      <c r="U310" s="5" t="s">
        <v>3975</v>
      </c>
      <c r="V310" s="5" t="s">
        <v>3975</v>
      </c>
      <c r="W310" s="5" t="s">
        <v>698</v>
      </c>
      <c r="X310" s="5" t="s">
        <v>698</v>
      </c>
      <c r="Y310" s="4">
        <v>31</v>
      </c>
      <c r="Z310" s="4">
        <v>26</v>
      </c>
      <c r="AA310" s="4">
        <v>54</v>
      </c>
      <c r="AB310" s="4">
        <v>1</v>
      </c>
      <c r="AC310" s="4">
        <v>1</v>
      </c>
      <c r="AD310" s="4">
        <v>3</v>
      </c>
      <c r="AE310" s="4">
        <v>3</v>
      </c>
      <c r="AF310" s="4">
        <v>0</v>
      </c>
      <c r="AG310" s="4">
        <v>0</v>
      </c>
      <c r="AH310" s="4">
        <v>0</v>
      </c>
      <c r="AI310" s="4">
        <v>0</v>
      </c>
      <c r="AJ310" s="4">
        <v>3</v>
      </c>
      <c r="AK310" s="4">
        <v>3</v>
      </c>
      <c r="AL310" s="4">
        <v>0</v>
      </c>
      <c r="AM310" s="4">
        <v>0</v>
      </c>
      <c r="AN310" s="4">
        <v>0</v>
      </c>
      <c r="AO310" s="4">
        <v>0</v>
      </c>
      <c r="AP310" s="3" t="s">
        <v>58</v>
      </c>
      <c r="AQ310" s="3" t="s">
        <v>132</v>
      </c>
      <c r="AR310" s="6" t="str">
        <f>HYPERLINK("http://catalog.hathitrust.org/Record/101518827","HathiTrust Record")</f>
        <v>HathiTrust Record</v>
      </c>
      <c r="AS310" s="6" t="str">
        <f>HYPERLINK("https://creighton-primo.hosted.exlibrisgroup.com/primo-explore/search?tab=default_tab&amp;search_scope=EVERYTHING&amp;vid=01CRU&amp;lang=en_US&amp;offset=0&amp;query=any,contains,991000361679702656","Catalog Record")</f>
        <v>Catalog Record</v>
      </c>
      <c r="AT310" s="6" t="str">
        <f>HYPERLINK("http://www.worldcat.org/oclc/10374543","WorldCat Record")</f>
        <v>WorldCat Record</v>
      </c>
      <c r="AU310" s="3" t="s">
        <v>3976</v>
      </c>
      <c r="AV310" s="3" t="s">
        <v>3977</v>
      </c>
      <c r="AW310" s="3" t="s">
        <v>3978</v>
      </c>
      <c r="AX310" s="3" t="s">
        <v>3978</v>
      </c>
      <c r="AY310" s="3" t="s">
        <v>3979</v>
      </c>
      <c r="AZ310" s="3" t="s">
        <v>75</v>
      </c>
      <c r="BC310" s="3" t="s">
        <v>3980</v>
      </c>
      <c r="BD310" s="3" t="s">
        <v>3981</v>
      </c>
    </row>
    <row r="311" spans="1:56" ht="39" customHeight="1" x14ac:dyDescent="0.25">
      <c r="A311" s="7" t="s">
        <v>58</v>
      </c>
      <c r="B311" s="2" t="s">
        <v>3982</v>
      </c>
      <c r="C311" s="2" t="s">
        <v>3983</v>
      </c>
      <c r="D311" s="2" t="s">
        <v>3984</v>
      </c>
      <c r="F311" s="3" t="s">
        <v>58</v>
      </c>
      <c r="G311" s="3" t="s">
        <v>59</v>
      </c>
      <c r="H311" s="3" t="s">
        <v>58</v>
      </c>
      <c r="I311" s="3" t="s">
        <v>58</v>
      </c>
      <c r="J311" s="3" t="s">
        <v>60</v>
      </c>
      <c r="K311" s="2" t="s">
        <v>3985</v>
      </c>
      <c r="L311" s="2" t="s">
        <v>3986</v>
      </c>
      <c r="M311" s="3" t="s">
        <v>845</v>
      </c>
      <c r="O311" s="3" t="s">
        <v>65</v>
      </c>
      <c r="P311" s="3" t="s">
        <v>1246</v>
      </c>
      <c r="Q311" s="2" t="s">
        <v>3987</v>
      </c>
      <c r="R311" s="3" t="s">
        <v>68</v>
      </c>
      <c r="S311" s="4">
        <v>1</v>
      </c>
      <c r="T311" s="4">
        <v>1</v>
      </c>
      <c r="U311" s="5" t="s">
        <v>3988</v>
      </c>
      <c r="V311" s="5" t="s">
        <v>3988</v>
      </c>
      <c r="W311" s="5" t="s">
        <v>3989</v>
      </c>
      <c r="X311" s="5" t="s">
        <v>3989</v>
      </c>
      <c r="Y311" s="4">
        <v>567</v>
      </c>
      <c r="Z311" s="4">
        <v>495</v>
      </c>
      <c r="AA311" s="4">
        <v>500</v>
      </c>
      <c r="AB311" s="4">
        <v>4</v>
      </c>
      <c r="AC311" s="4">
        <v>4</v>
      </c>
      <c r="AD311" s="4">
        <v>34</v>
      </c>
      <c r="AE311" s="4">
        <v>34</v>
      </c>
      <c r="AF311" s="4">
        <v>13</v>
      </c>
      <c r="AG311" s="4">
        <v>13</v>
      </c>
      <c r="AH311" s="4">
        <v>8</v>
      </c>
      <c r="AI311" s="4">
        <v>8</v>
      </c>
      <c r="AJ311" s="4">
        <v>20</v>
      </c>
      <c r="AK311" s="4">
        <v>20</v>
      </c>
      <c r="AL311" s="4">
        <v>3</v>
      </c>
      <c r="AM311" s="4">
        <v>3</v>
      </c>
      <c r="AN311" s="4">
        <v>0</v>
      </c>
      <c r="AO311" s="4">
        <v>0</v>
      </c>
      <c r="AP311" s="3" t="s">
        <v>58</v>
      </c>
      <c r="AQ311" s="3" t="s">
        <v>58</v>
      </c>
      <c r="AS311" s="6" t="str">
        <f>HYPERLINK("https://creighton-primo.hosted.exlibrisgroup.com/primo-explore/search?tab=default_tab&amp;search_scope=EVERYTHING&amp;vid=01CRU&amp;lang=en_US&amp;offset=0&amp;query=any,contains,991000053619702656","Catalog Record")</f>
        <v>Catalog Record</v>
      </c>
      <c r="AT311" s="6" t="str">
        <f>HYPERLINK("http://www.worldcat.org/oclc/23070","WorldCat Record")</f>
        <v>WorldCat Record</v>
      </c>
      <c r="AU311" s="3" t="s">
        <v>3990</v>
      </c>
      <c r="AV311" s="3" t="s">
        <v>3991</v>
      </c>
      <c r="AW311" s="3" t="s">
        <v>3992</v>
      </c>
      <c r="AX311" s="3" t="s">
        <v>3992</v>
      </c>
      <c r="AY311" s="3" t="s">
        <v>3993</v>
      </c>
      <c r="AZ311" s="3" t="s">
        <v>75</v>
      </c>
      <c r="BC311" s="3" t="s">
        <v>3994</v>
      </c>
      <c r="BD311" s="3" t="s">
        <v>3995</v>
      </c>
    </row>
    <row r="312" spans="1:56" ht="39" customHeight="1" x14ac:dyDescent="0.25">
      <c r="A312" s="7" t="s">
        <v>58</v>
      </c>
      <c r="B312" s="2" t="s">
        <v>3996</v>
      </c>
      <c r="C312" s="2" t="s">
        <v>3997</v>
      </c>
      <c r="D312" s="2" t="s">
        <v>3998</v>
      </c>
      <c r="F312" s="3" t="s">
        <v>58</v>
      </c>
      <c r="G312" s="3" t="s">
        <v>59</v>
      </c>
      <c r="H312" s="3" t="s">
        <v>58</v>
      </c>
      <c r="I312" s="3" t="s">
        <v>58</v>
      </c>
      <c r="J312" s="3" t="s">
        <v>60</v>
      </c>
      <c r="K312" s="2" t="s">
        <v>3999</v>
      </c>
      <c r="L312" s="2" t="s">
        <v>4000</v>
      </c>
      <c r="M312" s="3" t="s">
        <v>759</v>
      </c>
      <c r="O312" s="3" t="s">
        <v>65</v>
      </c>
      <c r="P312" s="3" t="s">
        <v>186</v>
      </c>
      <c r="R312" s="3" t="s">
        <v>68</v>
      </c>
      <c r="S312" s="4">
        <v>5</v>
      </c>
      <c r="T312" s="4">
        <v>5</v>
      </c>
      <c r="U312" s="5" t="s">
        <v>4001</v>
      </c>
      <c r="V312" s="5" t="s">
        <v>4001</v>
      </c>
      <c r="W312" s="5" t="s">
        <v>2384</v>
      </c>
      <c r="X312" s="5" t="s">
        <v>2384</v>
      </c>
      <c r="Y312" s="4">
        <v>381</v>
      </c>
      <c r="Z312" s="4">
        <v>338</v>
      </c>
      <c r="AA312" s="4">
        <v>340</v>
      </c>
      <c r="AB312" s="4">
        <v>2</v>
      </c>
      <c r="AC312" s="4">
        <v>2</v>
      </c>
      <c r="AD312" s="4">
        <v>25</v>
      </c>
      <c r="AE312" s="4">
        <v>25</v>
      </c>
      <c r="AF312" s="4">
        <v>8</v>
      </c>
      <c r="AG312" s="4">
        <v>8</v>
      </c>
      <c r="AH312" s="4">
        <v>9</v>
      </c>
      <c r="AI312" s="4">
        <v>9</v>
      </c>
      <c r="AJ312" s="4">
        <v>16</v>
      </c>
      <c r="AK312" s="4">
        <v>16</v>
      </c>
      <c r="AL312" s="4">
        <v>1</v>
      </c>
      <c r="AM312" s="4">
        <v>1</v>
      </c>
      <c r="AN312" s="4">
        <v>1</v>
      </c>
      <c r="AO312" s="4">
        <v>1</v>
      </c>
      <c r="AP312" s="3" t="s">
        <v>58</v>
      </c>
      <c r="AQ312" s="3" t="s">
        <v>132</v>
      </c>
      <c r="AR312" s="6" t="str">
        <f>HYPERLINK("http://catalog.hathitrust.org/Record/001079097","HathiTrust Record")</f>
        <v>HathiTrust Record</v>
      </c>
      <c r="AS312" s="6" t="str">
        <f>HYPERLINK("https://creighton-primo.hosted.exlibrisgroup.com/primo-explore/search?tab=default_tab&amp;search_scope=EVERYTHING&amp;vid=01CRU&amp;lang=en_US&amp;offset=0&amp;query=any,contains,991001218679702656","Catalog Record")</f>
        <v>Catalog Record</v>
      </c>
      <c r="AT312" s="6" t="str">
        <f>HYPERLINK("http://www.worldcat.org/oclc/17441150","WorldCat Record")</f>
        <v>WorldCat Record</v>
      </c>
      <c r="AU312" s="3" t="s">
        <v>4002</v>
      </c>
      <c r="AV312" s="3" t="s">
        <v>4003</v>
      </c>
      <c r="AW312" s="3" t="s">
        <v>4004</v>
      </c>
      <c r="AX312" s="3" t="s">
        <v>4004</v>
      </c>
      <c r="AY312" s="3" t="s">
        <v>4005</v>
      </c>
      <c r="AZ312" s="3" t="s">
        <v>75</v>
      </c>
      <c r="BB312" s="3" t="s">
        <v>4006</v>
      </c>
      <c r="BC312" s="3" t="s">
        <v>4007</v>
      </c>
      <c r="BD312" s="3" t="s">
        <v>4008</v>
      </c>
    </row>
    <row r="313" spans="1:56" ht="39" customHeight="1" x14ac:dyDescent="0.25">
      <c r="A313" s="7" t="s">
        <v>58</v>
      </c>
      <c r="B313" s="2" t="s">
        <v>4009</v>
      </c>
      <c r="C313" s="2" t="s">
        <v>4010</v>
      </c>
      <c r="D313" s="2" t="s">
        <v>4011</v>
      </c>
      <c r="F313" s="3" t="s">
        <v>58</v>
      </c>
      <c r="G313" s="3" t="s">
        <v>59</v>
      </c>
      <c r="H313" s="3" t="s">
        <v>58</v>
      </c>
      <c r="I313" s="3" t="s">
        <v>58</v>
      </c>
      <c r="J313" s="3" t="s">
        <v>60</v>
      </c>
      <c r="K313" s="2" t="s">
        <v>4012</v>
      </c>
      <c r="L313" s="2" t="s">
        <v>4013</v>
      </c>
      <c r="M313" s="3" t="s">
        <v>215</v>
      </c>
      <c r="O313" s="3" t="s">
        <v>65</v>
      </c>
      <c r="P313" s="3" t="s">
        <v>158</v>
      </c>
      <c r="R313" s="3" t="s">
        <v>68</v>
      </c>
      <c r="S313" s="4">
        <v>2</v>
      </c>
      <c r="T313" s="4">
        <v>2</v>
      </c>
      <c r="U313" s="5" t="s">
        <v>4014</v>
      </c>
      <c r="V313" s="5" t="s">
        <v>4014</v>
      </c>
      <c r="W313" s="5" t="s">
        <v>4015</v>
      </c>
      <c r="X313" s="5" t="s">
        <v>4015</v>
      </c>
      <c r="Y313" s="4">
        <v>158</v>
      </c>
      <c r="Z313" s="4">
        <v>128</v>
      </c>
      <c r="AA313" s="4">
        <v>130</v>
      </c>
      <c r="AB313" s="4">
        <v>1</v>
      </c>
      <c r="AC313" s="4">
        <v>1</v>
      </c>
      <c r="AD313" s="4">
        <v>4</v>
      </c>
      <c r="AE313" s="4">
        <v>4</v>
      </c>
      <c r="AF313" s="4">
        <v>0</v>
      </c>
      <c r="AG313" s="4">
        <v>0</v>
      </c>
      <c r="AH313" s="4">
        <v>3</v>
      </c>
      <c r="AI313" s="4">
        <v>3</v>
      </c>
      <c r="AJ313" s="4">
        <v>2</v>
      </c>
      <c r="AK313" s="4">
        <v>2</v>
      </c>
      <c r="AL313" s="4">
        <v>0</v>
      </c>
      <c r="AM313" s="4">
        <v>0</v>
      </c>
      <c r="AN313" s="4">
        <v>0</v>
      </c>
      <c r="AO313" s="4">
        <v>0</v>
      </c>
      <c r="AP313" s="3" t="s">
        <v>58</v>
      </c>
      <c r="AQ313" s="3" t="s">
        <v>132</v>
      </c>
      <c r="AR313" s="6" t="str">
        <f>HYPERLINK("http://catalog.hathitrust.org/Record/006662491","HathiTrust Record")</f>
        <v>HathiTrust Record</v>
      </c>
      <c r="AS313" s="6" t="str">
        <f>HYPERLINK("https://creighton-primo.hosted.exlibrisgroup.com/primo-explore/search?tab=default_tab&amp;search_scope=EVERYTHING&amp;vid=01CRU&amp;lang=en_US&amp;offset=0&amp;query=any,contains,991001318689702656","Catalog Record")</f>
        <v>Catalog Record</v>
      </c>
      <c r="AT313" s="6" t="str">
        <f>HYPERLINK("http://www.worldcat.org/oclc/18192674","WorldCat Record")</f>
        <v>WorldCat Record</v>
      </c>
      <c r="AU313" s="3" t="s">
        <v>4016</v>
      </c>
      <c r="AV313" s="3" t="s">
        <v>4017</v>
      </c>
      <c r="AW313" s="3" t="s">
        <v>4018</v>
      </c>
      <c r="AX313" s="3" t="s">
        <v>4018</v>
      </c>
      <c r="AY313" s="3" t="s">
        <v>4019</v>
      </c>
      <c r="AZ313" s="3" t="s">
        <v>75</v>
      </c>
      <c r="BB313" s="3" t="s">
        <v>4020</v>
      </c>
      <c r="BC313" s="3" t="s">
        <v>4021</v>
      </c>
      <c r="BD313" s="3" t="s">
        <v>4022</v>
      </c>
    </row>
    <row r="314" spans="1:56" ht="39" customHeight="1" x14ac:dyDescent="0.25">
      <c r="A314" s="7" t="s">
        <v>58</v>
      </c>
      <c r="B314" s="2" t="s">
        <v>4023</v>
      </c>
      <c r="C314" s="2" t="s">
        <v>4024</v>
      </c>
      <c r="D314" s="2" t="s">
        <v>4025</v>
      </c>
      <c r="F314" s="3" t="s">
        <v>58</v>
      </c>
      <c r="G314" s="3" t="s">
        <v>59</v>
      </c>
      <c r="H314" s="3" t="s">
        <v>58</v>
      </c>
      <c r="I314" s="3" t="s">
        <v>58</v>
      </c>
      <c r="J314" s="3" t="s">
        <v>60</v>
      </c>
      <c r="K314" s="2" t="s">
        <v>4026</v>
      </c>
      <c r="L314" s="2" t="s">
        <v>4027</v>
      </c>
      <c r="M314" s="3" t="s">
        <v>2179</v>
      </c>
      <c r="N314" s="2" t="s">
        <v>2831</v>
      </c>
      <c r="O314" s="3" t="s">
        <v>65</v>
      </c>
      <c r="P314" s="3" t="s">
        <v>186</v>
      </c>
      <c r="R314" s="3" t="s">
        <v>68</v>
      </c>
      <c r="S314" s="4">
        <v>3</v>
      </c>
      <c r="T314" s="4">
        <v>3</v>
      </c>
      <c r="U314" s="5" t="s">
        <v>4028</v>
      </c>
      <c r="V314" s="5" t="s">
        <v>4028</v>
      </c>
      <c r="W314" s="5" t="s">
        <v>698</v>
      </c>
      <c r="X314" s="5" t="s">
        <v>698</v>
      </c>
      <c r="Y314" s="4">
        <v>786</v>
      </c>
      <c r="Z314" s="4">
        <v>742</v>
      </c>
      <c r="AA314" s="4">
        <v>1312</v>
      </c>
      <c r="AB314" s="4">
        <v>8</v>
      </c>
      <c r="AC314" s="4">
        <v>17</v>
      </c>
      <c r="AD314" s="4">
        <v>12</v>
      </c>
      <c r="AE314" s="4">
        <v>19</v>
      </c>
      <c r="AF314" s="4">
        <v>5</v>
      </c>
      <c r="AG314" s="4">
        <v>8</v>
      </c>
      <c r="AH314" s="4">
        <v>1</v>
      </c>
      <c r="AI314" s="4">
        <v>3</v>
      </c>
      <c r="AJ314" s="4">
        <v>4</v>
      </c>
      <c r="AK314" s="4">
        <v>4</v>
      </c>
      <c r="AL314" s="4">
        <v>3</v>
      </c>
      <c r="AM314" s="4">
        <v>6</v>
      </c>
      <c r="AN314" s="4">
        <v>0</v>
      </c>
      <c r="AO314" s="4">
        <v>0</v>
      </c>
      <c r="AP314" s="3" t="s">
        <v>58</v>
      </c>
      <c r="AQ314" s="3" t="s">
        <v>132</v>
      </c>
      <c r="AR314" s="6" t="str">
        <f>HYPERLINK("http://catalog.hathitrust.org/Record/001413958","HathiTrust Record")</f>
        <v>HathiTrust Record</v>
      </c>
      <c r="AS314" s="6" t="str">
        <f>HYPERLINK("https://creighton-primo.hosted.exlibrisgroup.com/primo-explore/search?tab=default_tab&amp;search_scope=EVERYTHING&amp;vid=01CRU&amp;lang=en_US&amp;offset=0&amp;query=any,contains,991003567589702656","Catalog Record")</f>
        <v>Catalog Record</v>
      </c>
      <c r="AT314" s="6" t="str">
        <f>HYPERLINK("http://www.worldcat.org/oclc/1141291","WorldCat Record")</f>
        <v>WorldCat Record</v>
      </c>
      <c r="AU314" s="3" t="s">
        <v>4029</v>
      </c>
      <c r="AV314" s="3" t="s">
        <v>4030</v>
      </c>
      <c r="AW314" s="3" t="s">
        <v>4031</v>
      </c>
      <c r="AX314" s="3" t="s">
        <v>4031</v>
      </c>
      <c r="AY314" s="3" t="s">
        <v>4032</v>
      </c>
      <c r="AZ314" s="3" t="s">
        <v>75</v>
      </c>
      <c r="BC314" s="3" t="s">
        <v>4033</v>
      </c>
      <c r="BD314" s="3" t="s">
        <v>4034</v>
      </c>
    </row>
    <row r="315" spans="1:56" ht="39" customHeight="1" x14ac:dyDescent="0.25">
      <c r="A315" s="7" t="s">
        <v>58</v>
      </c>
      <c r="B315" s="2" t="s">
        <v>4035</v>
      </c>
      <c r="C315" s="2" t="s">
        <v>4036</v>
      </c>
      <c r="D315" s="2" t="s">
        <v>4037</v>
      </c>
      <c r="F315" s="3" t="s">
        <v>58</v>
      </c>
      <c r="G315" s="3" t="s">
        <v>59</v>
      </c>
      <c r="H315" s="3" t="s">
        <v>58</v>
      </c>
      <c r="I315" s="3" t="s">
        <v>58</v>
      </c>
      <c r="J315" s="3" t="s">
        <v>60</v>
      </c>
      <c r="K315" s="2" t="s">
        <v>4038</v>
      </c>
      <c r="L315" s="2" t="s">
        <v>4039</v>
      </c>
      <c r="M315" s="3" t="s">
        <v>670</v>
      </c>
      <c r="O315" s="3" t="s">
        <v>65</v>
      </c>
      <c r="P315" s="3" t="s">
        <v>571</v>
      </c>
      <c r="Q315" s="2" t="s">
        <v>4040</v>
      </c>
      <c r="R315" s="3" t="s">
        <v>68</v>
      </c>
      <c r="S315" s="4">
        <v>2</v>
      </c>
      <c r="T315" s="4">
        <v>2</v>
      </c>
      <c r="U315" s="5" t="s">
        <v>4041</v>
      </c>
      <c r="V315" s="5" t="s">
        <v>4041</v>
      </c>
      <c r="W315" s="5" t="s">
        <v>4042</v>
      </c>
      <c r="X315" s="5" t="s">
        <v>4042</v>
      </c>
      <c r="Y315" s="4">
        <v>695</v>
      </c>
      <c r="Z315" s="4">
        <v>550</v>
      </c>
      <c r="AA315" s="4">
        <v>552</v>
      </c>
      <c r="AB315" s="4">
        <v>6</v>
      </c>
      <c r="AC315" s="4">
        <v>6</v>
      </c>
      <c r="AD315" s="4">
        <v>32</v>
      </c>
      <c r="AE315" s="4">
        <v>32</v>
      </c>
      <c r="AF315" s="4">
        <v>11</v>
      </c>
      <c r="AG315" s="4">
        <v>11</v>
      </c>
      <c r="AH315" s="4">
        <v>7</v>
      </c>
      <c r="AI315" s="4">
        <v>7</v>
      </c>
      <c r="AJ315" s="4">
        <v>19</v>
      </c>
      <c r="AK315" s="4">
        <v>19</v>
      </c>
      <c r="AL315" s="4">
        <v>4</v>
      </c>
      <c r="AM315" s="4">
        <v>4</v>
      </c>
      <c r="AN315" s="4">
        <v>0</v>
      </c>
      <c r="AO315" s="4">
        <v>0</v>
      </c>
      <c r="AP315" s="3" t="s">
        <v>58</v>
      </c>
      <c r="AQ315" s="3" t="s">
        <v>132</v>
      </c>
      <c r="AR315" s="6" t="str">
        <f>HYPERLINK("http://catalog.hathitrust.org/Record/000001356","HathiTrust Record")</f>
        <v>HathiTrust Record</v>
      </c>
      <c r="AS315" s="6" t="str">
        <f>HYPERLINK("https://creighton-primo.hosted.exlibrisgroup.com/primo-explore/search?tab=default_tab&amp;search_scope=EVERYTHING&amp;vid=01CRU&amp;lang=en_US&amp;offset=0&amp;query=any,contains,991000606189702656","Catalog Record")</f>
        <v>Catalog Record</v>
      </c>
      <c r="AT315" s="6" t="str">
        <f>HYPERLINK("http://www.worldcat.org/oclc/99185","WorldCat Record")</f>
        <v>WorldCat Record</v>
      </c>
      <c r="AU315" s="3" t="s">
        <v>4043</v>
      </c>
      <c r="AV315" s="3" t="s">
        <v>4044</v>
      </c>
      <c r="AW315" s="3" t="s">
        <v>4045</v>
      </c>
      <c r="AX315" s="3" t="s">
        <v>4045</v>
      </c>
      <c r="AY315" s="3" t="s">
        <v>4046</v>
      </c>
      <c r="AZ315" s="3" t="s">
        <v>75</v>
      </c>
      <c r="BB315" s="3" t="s">
        <v>4047</v>
      </c>
      <c r="BC315" s="3" t="s">
        <v>4048</v>
      </c>
      <c r="BD315" s="3" t="s">
        <v>4049</v>
      </c>
    </row>
    <row r="316" spans="1:56" ht="39" customHeight="1" x14ac:dyDescent="0.25">
      <c r="A316" s="7" t="s">
        <v>58</v>
      </c>
      <c r="B316" s="2" t="s">
        <v>4050</v>
      </c>
      <c r="C316" s="2" t="s">
        <v>4051</v>
      </c>
      <c r="D316" s="2" t="s">
        <v>4052</v>
      </c>
      <c r="F316" s="3" t="s">
        <v>58</v>
      </c>
      <c r="G316" s="3" t="s">
        <v>59</v>
      </c>
      <c r="H316" s="3" t="s">
        <v>58</v>
      </c>
      <c r="I316" s="3" t="s">
        <v>58</v>
      </c>
      <c r="J316" s="3" t="s">
        <v>60</v>
      </c>
      <c r="K316" s="2" t="s">
        <v>4053</v>
      </c>
      <c r="L316" s="2" t="s">
        <v>4054</v>
      </c>
      <c r="M316" s="3" t="s">
        <v>544</v>
      </c>
      <c r="O316" s="3" t="s">
        <v>65</v>
      </c>
      <c r="P316" s="3" t="s">
        <v>158</v>
      </c>
      <c r="Q316" s="2" t="s">
        <v>4055</v>
      </c>
      <c r="R316" s="3" t="s">
        <v>68</v>
      </c>
      <c r="S316" s="4">
        <v>3</v>
      </c>
      <c r="T316" s="4">
        <v>3</v>
      </c>
      <c r="U316" s="5" t="s">
        <v>4056</v>
      </c>
      <c r="V316" s="5" t="s">
        <v>4056</v>
      </c>
      <c r="W316" s="5" t="s">
        <v>4057</v>
      </c>
      <c r="X316" s="5" t="s">
        <v>4057</v>
      </c>
      <c r="Y316" s="4">
        <v>215</v>
      </c>
      <c r="Z316" s="4">
        <v>160</v>
      </c>
      <c r="AA316" s="4">
        <v>160</v>
      </c>
      <c r="AB316" s="4">
        <v>1</v>
      </c>
      <c r="AC316" s="4">
        <v>1</v>
      </c>
      <c r="AD316" s="4">
        <v>11</v>
      </c>
      <c r="AE316" s="4">
        <v>11</v>
      </c>
      <c r="AF316" s="4">
        <v>6</v>
      </c>
      <c r="AG316" s="4">
        <v>6</v>
      </c>
      <c r="AH316" s="4">
        <v>1</v>
      </c>
      <c r="AI316" s="4">
        <v>1</v>
      </c>
      <c r="AJ316" s="4">
        <v>6</v>
      </c>
      <c r="AK316" s="4">
        <v>6</v>
      </c>
      <c r="AL316" s="4">
        <v>0</v>
      </c>
      <c r="AM316" s="4">
        <v>0</v>
      </c>
      <c r="AN316" s="4">
        <v>0</v>
      </c>
      <c r="AO316" s="4">
        <v>0</v>
      </c>
      <c r="AP316" s="3" t="s">
        <v>58</v>
      </c>
      <c r="AQ316" s="3" t="s">
        <v>58</v>
      </c>
      <c r="AS316" s="6" t="str">
        <f>HYPERLINK("https://creighton-primo.hosted.exlibrisgroup.com/primo-explore/search?tab=default_tab&amp;search_scope=EVERYTHING&amp;vid=01CRU&amp;lang=en_US&amp;offset=0&amp;query=any,contains,991003219299702656","Catalog Record")</f>
        <v>Catalog Record</v>
      </c>
      <c r="AT316" s="6" t="str">
        <f>HYPERLINK("http://www.worldcat.org/oclc/40707005","WorldCat Record")</f>
        <v>WorldCat Record</v>
      </c>
      <c r="AU316" s="3" t="s">
        <v>4058</v>
      </c>
      <c r="AV316" s="3" t="s">
        <v>4059</v>
      </c>
      <c r="AW316" s="3" t="s">
        <v>4060</v>
      </c>
      <c r="AX316" s="3" t="s">
        <v>4060</v>
      </c>
      <c r="AY316" s="3" t="s">
        <v>4061</v>
      </c>
      <c r="AZ316" s="3" t="s">
        <v>75</v>
      </c>
      <c r="BB316" s="3" t="s">
        <v>4062</v>
      </c>
      <c r="BC316" s="3" t="s">
        <v>4063</v>
      </c>
      <c r="BD316" s="3" t="s">
        <v>4064</v>
      </c>
    </row>
    <row r="317" spans="1:56" ht="39" customHeight="1" x14ac:dyDescent="0.25">
      <c r="A317" s="7" t="s">
        <v>58</v>
      </c>
      <c r="B317" s="2" t="s">
        <v>4065</v>
      </c>
      <c r="C317" s="2" t="s">
        <v>4066</v>
      </c>
      <c r="D317" s="2" t="s">
        <v>4067</v>
      </c>
      <c r="F317" s="3" t="s">
        <v>58</v>
      </c>
      <c r="G317" s="3" t="s">
        <v>59</v>
      </c>
      <c r="H317" s="3" t="s">
        <v>58</v>
      </c>
      <c r="I317" s="3" t="s">
        <v>58</v>
      </c>
      <c r="J317" s="3" t="s">
        <v>60</v>
      </c>
      <c r="K317" s="2" t="s">
        <v>4068</v>
      </c>
      <c r="L317" s="2" t="s">
        <v>4069</v>
      </c>
      <c r="M317" s="3" t="s">
        <v>781</v>
      </c>
      <c r="O317" s="3" t="s">
        <v>65</v>
      </c>
      <c r="P317" s="3" t="s">
        <v>201</v>
      </c>
      <c r="R317" s="3" t="s">
        <v>68</v>
      </c>
      <c r="S317" s="4">
        <v>2</v>
      </c>
      <c r="T317" s="4">
        <v>2</v>
      </c>
      <c r="U317" s="5" t="s">
        <v>4070</v>
      </c>
      <c r="V317" s="5" t="s">
        <v>4070</v>
      </c>
      <c r="W317" s="5" t="s">
        <v>86</v>
      </c>
      <c r="X317" s="5" t="s">
        <v>86</v>
      </c>
      <c r="Y317" s="4">
        <v>270</v>
      </c>
      <c r="Z317" s="4">
        <v>234</v>
      </c>
      <c r="AA317" s="4">
        <v>254</v>
      </c>
      <c r="AB317" s="4">
        <v>2</v>
      </c>
      <c r="AC317" s="4">
        <v>2</v>
      </c>
      <c r="AD317" s="4">
        <v>28</v>
      </c>
      <c r="AE317" s="4">
        <v>30</v>
      </c>
      <c r="AF317" s="4">
        <v>12</v>
      </c>
      <c r="AG317" s="4">
        <v>13</v>
      </c>
      <c r="AH317" s="4">
        <v>8</v>
      </c>
      <c r="AI317" s="4">
        <v>8</v>
      </c>
      <c r="AJ317" s="4">
        <v>19</v>
      </c>
      <c r="AK317" s="4">
        <v>20</v>
      </c>
      <c r="AL317" s="4">
        <v>1</v>
      </c>
      <c r="AM317" s="4">
        <v>1</v>
      </c>
      <c r="AN317" s="4">
        <v>0</v>
      </c>
      <c r="AO317" s="4">
        <v>0</v>
      </c>
      <c r="AP317" s="3" t="s">
        <v>58</v>
      </c>
      <c r="AQ317" s="3" t="s">
        <v>58</v>
      </c>
      <c r="AS317" s="6" t="str">
        <f>HYPERLINK("https://creighton-primo.hosted.exlibrisgroup.com/primo-explore/search?tab=default_tab&amp;search_scope=EVERYTHING&amp;vid=01CRU&amp;lang=en_US&amp;offset=0&amp;query=any,contains,991000688729702656","Catalog Record")</f>
        <v>Catalog Record</v>
      </c>
      <c r="AT317" s="6" t="str">
        <f>HYPERLINK("http://www.worldcat.org/oclc/12424059","WorldCat Record")</f>
        <v>WorldCat Record</v>
      </c>
      <c r="AU317" s="3" t="s">
        <v>4071</v>
      </c>
      <c r="AV317" s="3" t="s">
        <v>4072</v>
      </c>
      <c r="AW317" s="3" t="s">
        <v>4073</v>
      </c>
      <c r="AX317" s="3" t="s">
        <v>4073</v>
      </c>
      <c r="AY317" s="3" t="s">
        <v>4074</v>
      </c>
      <c r="AZ317" s="3" t="s">
        <v>75</v>
      </c>
      <c r="BB317" s="3" t="s">
        <v>4075</v>
      </c>
      <c r="BC317" s="3" t="s">
        <v>4076</v>
      </c>
      <c r="BD317" s="3" t="s">
        <v>4077</v>
      </c>
    </row>
    <row r="318" spans="1:56" ht="39" customHeight="1" x14ac:dyDescent="0.25">
      <c r="A318" s="7" t="s">
        <v>58</v>
      </c>
      <c r="B318" s="2" t="s">
        <v>4078</v>
      </c>
      <c r="C318" s="2" t="s">
        <v>4079</v>
      </c>
      <c r="D318" s="2" t="s">
        <v>4080</v>
      </c>
      <c r="F318" s="3" t="s">
        <v>58</v>
      </c>
      <c r="G318" s="3" t="s">
        <v>59</v>
      </c>
      <c r="H318" s="3" t="s">
        <v>58</v>
      </c>
      <c r="I318" s="3" t="s">
        <v>58</v>
      </c>
      <c r="J318" s="3" t="s">
        <v>60</v>
      </c>
      <c r="L318" s="2" t="s">
        <v>4081</v>
      </c>
      <c r="M318" s="3" t="s">
        <v>462</v>
      </c>
      <c r="O318" s="3" t="s">
        <v>65</v>
      </c>
      <c r="P318" s="3" t="s">
        <v>201</v>
      </c>
      <c r="R318" s="3" t="s">
        <v>68</v>
      </c>
      <c r="S318" s="4">
        <v>8</v>
      </c>
      <c r="T318" s="4">
        <v>8</v>
      </c>
      <c r="U318" s="5" t="s">
        <v>4082</v>
      </c>
      <c r="V318" s="5" t="s">
        <v>4082</v>
      </c>
      <c r="W318" s="5" t="s">
        <v>86</v>
      </c>
      <c r="X318" s="5" t="s">
        <v>86</v>
      </c>
      <c r="Y318" s="4">
        <v>113</v>
      </c>
      <c r="Z318" s="4">
        <v>88</v>
      </c>
      <c r="AA318" s="4">
        <v>89</v>
      </c>
      <c r="AB318" s="4">
        <v>1</v>
      </c>
      <c r="AC318" s="4">
        <v>1</v>
      </c>
      <c r="AD318" s="4">
        <v>8</v>
      </c>
      <c r="AE318" s="4">
        <v>8</v>
      </c>
      <c r="AF318" s="4">
        <v>0</v>
      </c>
      <c r="AG318" s="4">
        <v>0</v>
      </c>
      <c r="AH318" s="4">
        <v>3</v>
      </c>
      <c r="AI318" s="4">
        <v>3</v>
      </c>
      <c r="AJ318" s="4">
        <v>6</v>
      </c>
      <c r="AK318" s="4">
        <v>6</v>
      </c>
      <c r="AL318" s="4">
        <v>0</v>
      </c>
      <c r="AM318" s="4">
        <v>0</v>
      </c>
      <c r="AN318" s="4">
        <v>0</v>
      </c>
      <c r="AO318" s="4">
        <v>0</v>
      </c>
      <c r="AP318" s="3" t="s">
        <v>58</v>
      </c>
      <c r="AQ318" s="3" t="s">
        <v>58</v>
      </c>
      <c r="AS318" s="6" t="str">
        <f>HYPERLINK("https://creighton-primo.hosted.exlibrisgroup.com/primo-explore/search?tab=default_tab&amp;search_scope=EVERYTHING&amp;vid=01CRU&amp;lang=en_US&amp;offset=0&amp;query=any,contains,991000391749702656","Catalog Record")</f>
        <v>Catalog Record</v>
      </c>
      <c r="AT318" s="6" t="str">
        <f>HYPERLINK("http://www.worldcat.org/oclc/10557737","WorldCat Record")</f>
        <v>WorldCat Record</v>
      </c>
      <c r="AU318" s="3" t="s">
        <v>4083</v>
      </c>
      <c r="AV318" s="3" t="s">
        <v>4084</v>
      </c>
      <c r="AW318" s="3" t="s">
        <v>4085</v>
      </c>
      <c r="AX318" s="3" t="s">
        <v>4085</v>
      </c>
      <c r="AY318" s="3" t="s">
        <v>4086</v>
      </c>
      <c r="AZ318" s="3" t="s">
        <v>75</v>
      </c>
      <c r="BB318" s="3" t="s">
        <v>4087</v>
      </c>
      <c r="BC318" s="3" t="s">
        <v>4088</v>
      </c>
      <c r="BD318" s="3" t="s">
        <v>4089</v>
      </c>
    </row>
    <row r="319" spans="1:56" ht="39" customHeight="1" x14ac:dyDescent="0.25">
      <c r="A319" s="7" t="s">
        <v>58</v>
      </c>
      <c r="B319" s="2" t="s">
        <v>4090</v>
      </c>
      <c r="C319" s="2" t="s">
        <v>4091</v>
      </c>
      <c r="D319" s="2" t="s">
        <v>4092</v>
      </c>
      <c r="F319" s="3" t="s">
        <v>58</v>
      </c>
      <c r="G319" s="3" t="s">
        <v>59</v>
      </c>
      <c r="H319" s="3" t="s">
        <v>58</v>
      </c>
      <c r="I319" s="3" t="s">
        <v>58</v>
      </c>
      <c r="J319" s="3" t="s">
        <v>60</v>
      </c>
      <c r="K319" s="2" t="s">
        <v>1815</v>
      </c>
      <c r="L319" s="2" t="s">
        <v>4093</v>
      </c>
      <c r="M319" s="3" t="s">
        <v>289</v>
      </c>
      <c r="O319" s="3" t="s">
        <v>65</v>
      </c>
      <c r="P319" s="3" t="s">
        <v>967</v>
      </c>
      <c r="R319" s="3" t="s">
        <v>68</v>
      </c>
      <c r="S319" s="4">
        <v>4</v>
      </c>
      <c r="T319" s="4">
        <v>4</v>
      </c>
      <c r="U319" s="5" t="s">
        <v>4094</v>
      </c>
      <c r="V319" s="5" t="s">
        <v>4094</v>
      </c>
      <c r="W319" s="5" t="s">
        <v>86</v>
      </c>
      <c r="X319" s="5" t="s">
        <v>86</v>
      </c>
      <c r="Y319" s="4">
        <v>91</v>
      </c>
      <c r="Z319" s="4">
        <v>76</v>
      </c>
      <c r="AA319" s="4">
        <v>81</v>
      </c>
      <c r="AB319" s="4">
        <v>2</v>
      </c>
      <c r="AC319" s="4">
        <v>2</v>
      </c>
      <c r="AD319" s="4">
        <v>8</v>
      </c>
      <c r="AE319" s="4">
        <v>8</v>
      </c>
      <c r="AF319" s="4">
        <v>0</v>
      </c>
      <c r="AG319" s="4">
        <v>0</v>
      </c>
      <c r="AH319" s="4">
        <v>2</v>
      </c>
      <c r="AI319" s="4">
        <v>2</v>
      </c>
      <c r="AJ319" s="4">
        <v>7</v>
      </c>
      <c r="AK319" s="4">
        <v>7</v>
      </c>
      <c r="AL319" s="4">
        <v>0</v>
      </c>
      <c r="AM319" s="4">
        <v>0</v>
      </c>
      <c r="AN319" s="4">
        <v>0</v>
      </c>
      <c r="AO319" s="4">
        <v>0</v>
      </c>
      <c r="AP319" s="3" t="s">
        <v>58</v>
      </c>
      <c r="AQ319" s="3" t="s">
        <v>58</v>
      </c>
      <c r="AS319" s="6" t="str">
        <f>HYPERLINK("https://creighton-primo.hosted.exlibrisgroup.com/primo-explore/search?tab=default_tab&amp;search_scope=EVERYTHING&amp;vid=01CRU&amp;lang=en_US&amp;offset=0&amp;query=any,contains,991005169629702656","Catalog Record")</f>
        <v>Catalog Record</v>
      </c>
      <c r="AT319" s="6" t="str">
        <f>HYPERLINK("http://www.worldcat.org/oclc/7840378","WorldCat Record")</f>
        <v>WorldCat Record</v>
      </c>
      <c r="AU319" s="3" t="s">
        <v>4095</v>
      </c>
      <c r="AV319" s="3" t="s">
        <v>4096</v>
      </c>
      <c r="AW319" s="3" t="s">
        <v>4097</v>
      </c>
      <c r="AX319" s="3" t="s">
        <v>4097</v>
      </c>
      <c r="AY319" s="3" t="s">
        <v>4098</v>
      </c>
      <c r="AZ319" s="3" t="s">
        <v>75</v>
      </c>
      <c r="BB319" s="3" t="s">
        <v>4099</v>
      </c>
      <c r="BC319" s="3" t="s">
        <v>4100</v>
      </c>
      <c r="BD319" s="3" t="s">
        <v>4101</v>
      </c>
    </row>
    <row r="320" spans="1:56" ht="39" customHeight="1" x14ac:dyDescent="0.25">
      <c r="A320" s="7" t="s">
        <v>58</v>
      </c>
      <c r="B320" s="2" t="s">
        <v>4102</v>
      </c>
      <c r="C320" s="2" t="s">
        <v>4103</v>
      </c>
      <c r="D320" s="2" t="s">
        <v>4104</v>
      </c>
      <c r="F320" s="3" t="s">
        <v>58</v>
      </c>
      <c r="G320" s="3" t="s">
        <v>59</v>
      </c>
      <c r="H320" s="3" t="s">
        <v>58</v>
      </c>
      <c r="I320" s="3" t="s">
        <v>58</v>
      </c>
      <c r="J320" s="3" t="s">
        <v>60</v>
      </c>
      <c r="K320" s="2" t="s">
        <v>4105</v>
      </c>
      <c r="L320" s="2" t="s">
        <v>4106</v>
      </c>
      <c r="M320" s="3" t="s">
        <v>3429</v>
      </c>
      <c r="O320" s="3" t="s">
        <v>65</v>
      </c>
      <c r="P320" s="3" t="s">
        <v>66</v>
      </c>
      <c r="Q320" s="2" t="s">
        <v>4107</v>
      </c>
      <c r="R320" s="3" t="s">
        <v>68</v>
      </c>
      <c r="S320" s="4">
        <v>1</v>
      </c>
      <c r="T320" s="4">
        <v>1</v>
      </c>
      <c r="U320" s="5" t="s">
        <v>4108</v>
      </c>
      <c r="V320" s="5" t="s">
        <v>4108</v>
      </c>
      <c r="W320" s="5" t="s">
        <v>86</v>
      </c>
      <c r="X320" s="5" t="s">
        <v>86</v>
      </c>
      <c r="Y320" s="4">
        <v>113</v>
      </c>
      <c r="Z320" s="4">
        <v>95</v>
      </c>
      <c r="AA320" s="4">
        <v>169</v>
      </c>
      <c r="AB320" s="4">
        <v>1</v>
      </c>
      <c r="AC320" s="4">
        <v>2</v>
      </c>
      <c r="AD320" s="4">
        <v>17</v>
      </c>
      <c r="AE320" s="4">
        <v>20</v>
      </c>
      <c r="AF320" s="4">
        <v>5</v>
      </c>
      <c r="AG320" s="4">
        <v>6</v>
      </c>
      <c r="AH320" s="4">
        <v>4</v>
      </c>
      <c r="AI320" s="4">
        <v>5</v>
      </c>
      <c r="AJ320" s="4">
        <v>13</v>
      </c>
      <c r="AK320" s="4">
        <v>13</v>
      </c>
      <c r="AL320" s="4">
        <v>0</v>
      </c>
      <c r="AM320" s="4">
        <v>1</v>
      </c>
      <c r="AN320" s="4">
        <v>0</v>
      </c>
      <c r="AO320" s="4">
        <v>0</v>
      </c>
      <c r="AP320" s="3" t="s">
        <v>132</v>
      </c>
      <c r="AQ320" s="3" t="s">
        <v>58</v>
      </c>
      <c r="AR320" s="6" t="str">
        <f>HYPERLINK("http://catalog.hathitrust.org/Record/001400716","HathiTrust Record")</f>
        <v>HathiTrust Record</v>
      </c>
      <c r="AS320" s="6" t="str">
        <f>HYPERLINK("https://creighton-primo.hosted.exlibrisgroup.com/primo-explore/search?tab=default_tab&amp;search_scope=EVERYTHING&amp;vid=01CRU&amp;lang=en_US&amp;offset=0&amp;query=any,contains,991003138289702656","Catalog Record")</f>
        <v>Catalog Record</v>
      </c>
      <c r="AT320" s="6" t="str">
        <f>HYPERLINK("http://www.worldcat.org/oclc/679857","WorldCat Record")</f>
        <v>WorldCat Record</v>
      </c>
      <c r="AU320" s="3" t="s">
        <v>4109</v>
      </c>
      <c r="AV320" s="3" t="s">
        <v>4110</v>
      </c>
      <c r="AW320" s="3" t="s">
        <v>4111</v>
      </c>
      <c r="AX320" s="3" t="s">
        <v>4111</v>
      </c>
      <c r="AY320" s="3" t="s">
        <v>4112</v>
      </c>
      <c r="AZ320" s="3" t="s">
        <v>75</v>
      </c>
      <c r="BC320" s="3" t="s">
        <v>4113</v>
      </c>
      <c r="BD320" s="3" t="s">
        <v>4114</v>
      </c>
    </row>
    <row r="321" spans="1:56" ht="39" customHeight="1" x14ac:dyDescent="0.25">
      <c r="A321" s="7" t="s">
        <v>58</v>
      </c>
      <c r="B321" s="2" t="s">
        <v>4115</v>
      </c>
      <c r="C321" s="2" t="s">
        <v>4116</v>
      </c>
      <c r="D321" s="2" t="s">
        <v>4117</v>
      </c>
      <c r="F321" s="3" t="s">
        <v>58</v>
      </c>
      <c r="G321" s="3" t="s">
        <v>59</v>
      </c>
      <c r="H321" s="3" t="s">
        <v>58</v>
      </c>
      <c r="I321" s="3" t="s">
        <v>58</v>
      </c>
      <c r="J321" s="3" t="s">
        <v>60</v>
      </c>
      <c r="K321" s="2" t="s">
        <v>4118</v>
      </c>
      <c r="L321" s="2" t="s">
        <v>4119</v>
      </c>
      <c r="M321" s="3" t="s">
        <v>1449</v>
      </c>
      <c r="N321" s="2" t="s">
        <v>4120</v>
      </c>
      <c r="O321" s="3" t="s">
        <v>65</v>
      </c>
      <c r="P321" s="3" t="s">
        <v>492</v>
      </c>
      <c r="R321" s="3" t="s">
        <v>68</v>
      </c>
      <c r="S321" s="4">
        <v>1</v>
      </c>
      <c r="T321" s="4">
        <v>1</v>
      </c>
      <c r="U321" s="5" t="s">
        <v>4121</v>
      </c>
      <c r="V321" s="5" t="s">
        <v>4121</v>
      </c>
      <c r="W321" s="5" t="s">
        <v>4122</v>
      </c>
      <c r="X321" s="5" t="s">
        <v>4122</v>
      </c>
      <c r="Y321" s="4">
        <v>32</v>
      </c>
      <c r="Z321" s="4">
        <v>32</v>
      </c>
      <c r="AA321" s="4">
        <v>120</v>
      </c>
      <c r="AB321" s="4">
        <v>3</v>
      </c>
      <c r="AC321" s="4">
        <v>3</v>
      </c>
      <c r="AD321" s="4">
        <v>4</v>
      </c>
      <c r="AE321" s="4">
        <v>24</v>
      </c>
      <c r="AF321" s="4">
        <v>1</v>
      </c>
      <c r="AG321" s="4">
        <v>6</v>
      </c>
      <c r="AH321" s="4">
        <v>0</v>
      </c>
      <c r="AI321" s="4">
        <v>7</v>
      </c>
      <c r="AJ321" s="4">
        <v>4</v>
      </c>
      <c r="AK321" s="4">
        <v>18</v>
      </c>
      <c r="AL321" s="4">
        <v>0</v>
      </c>
      <c r="AM321" s="4">
        <v>0</v>
      </c>
      <c r="AN321" s="4">
        <v>0</v>
      </c>
      <c r="AO321" s="4">
        <v>0</v>
      </c>
      <c r="AP321" s="3" t="s">
        <v>58</v>
      </c>
      <c r="AQ321" s="3" t="s">
        <v>58</v>
      </c>
      <c r="AS321" s="6" t="str">
        <f>HYPERLINK("https://creighton-primo.hosted.exlibrisgroup.com/primo-explore/search?tab=default_tab&amp;search_scope=EVERYTHING&amp;vid=01CRU&amp;lang=en_US&amp;offset=0&amp;query=any,contains,991004328059702656","Catalog Record")</f>
        <v>Catalog Record</v>
      </c>
      <c r="AT321" s="6" t="str">
        <f>HYPERLINK("http://www.worldcat.org/oclc/3050177","WorldCat Record")</f>
        <v>WorldCat Record</v>
      </c>
      <c r="AU321" s="3" t="s">
        <v>4123</v>
      </c>
      <c r="AV321" s="3" t="s">
        <v>4124</v>
      </c>
      <c r="AW321" s="3" t="s">
        <v>4125</v>
      </c>
      <c r="AX321" s="3" t="s">
        <v>4125</v>
      </c>
      <c r="AY321" s="3" t="s">
        <v>4126</v>
      </c>
      <c r="AZ321" s="3" t="s">
        <v>75</v>
      </c>
      <c r="BC321" s="3" t="s">
        <v>4127</v>
      </c>
      <c r="BD321" s="3" t="s">
        <v>4128</v>
      </c>
    </row>
    <row r="322" spans="1:56" ht="39" customHeight="1" x14ac:dyDescent="0.25">
      <c r="A322" s="7" t="s">
        <v>58</v>
      </c>
      <c r="B322" s="2" t="s">
        <v>4129</v>
      </c>
      <c r="C322" s="2" t="s">
        <v>4130</v>
      </c>
      <c r="D322" s="2" t="s">
        <v>4131</v>
      </c>
      <c r="F322" s="3" t="s">
        <v>58</v>
      </c>
      <c r="G322" s="3" t="s">
        <v>59</v>
      </c>
      <c r="H322" s="3" t="s">
        <v>58</v>
      </c>
      <c r="I322" s="3" t="s">
        <v>58</v>
      </c>
      <c r="J322" s="3" t="s">
        <v>60</v>
      </c>
      <c r="K322" s="2" t="s">
        <v>4132</v>
      </c>
      <c r="L322" s="2" t="s">
        <v>4133</v>
      </c>
      <c r="M322" s="3" t="s">
        <v>4134</v>
      </c>
      <c r="O322" s="3" t="s">
        <v>65</v>
      </c>
      <c r="P322" s="3" t="s">
        <v>66</v>
      </c>
      <c r="R322" s="3" t="s">
        <v>68</v>
      </c>
      <c r="S322" s="4">
        <v>2</v>
      </c>
      <c r="T322" s="4">
        <v>2</v>
      </c>
      <c r="U322" s="5" t="s">
        <v>4135</v>
      </c>
      <c r="V322" s="5" t="s">
        <v>4135</v>
      </c>
      <c r="W322" s="5" t="s">
        <v>3989</v>
      </c>
      <c r="X322" s="5" t="s">
        <v>3989</v>
      </c>
      <c r="Y322" s="4">
        <v>9</v>
      </c>
      <c r="Z322" s="4">
        <v>9</v>
      </c>
      <c r="AA322" s="4">
        <v>149</v>
      </c>
      <c r="AB322" s="4">
        <v>1</v>
      </c>
      <c r="AC322" s="4">
        <v>2</v>
      </c>
      <c r="AD322" s="4">
        <v>0</v>
      </c>
      <c r="AE322" s="4">
        <v>12</v>
      </c>
      <c r="AF322" s="4">
        <v>0</v>
      </c>
      <c r="AG322" s="4">
        <v>2</v>
      </c>
      <c r="AH322" s="4">
        <v>0</v>
      </c>
      <c r="AI322" s="4">
        <v>3</v>
      </c>
      <c r="AJ322" s="4">
        <v>0</v>
      </c>
      <c r="AK322" s="4">
        <v>7</v>
      </c>
      <c r="AL322" s="4">
        <v>0</v>
      </c>
      <c r="AM322" s="4">
        <v>1</v>
      </c>
      <c r="AN322" s="4">
        <v>0</v>
      </c>
      <c r="AO322" s="4">
        <v>0</v>
      </c>
      <c r="AP322" s="3" t="s">
        <v>58</v>
      </c>
      <c r="AQ322" s="3" t="s">
        <v>58</v>
      </c>
      <c r="AS322" s="6" t="str">
        <f>HYPERLINK("https://creighton-primo.hosted.exlibrisgroup.com/primo-explore/search?tab=default_tab&amp;search_scope=EVERYTHING&amp;vid=01CRU&amp;lang=en_US&amp;offset=0&amp;query=any,contains,991004331929702656","Catalog Record")</f>
        <v>Catalog Record</v>
      </c>
      <c r="AT322" s="6" t="str">
        <f>HYPERLINK("http://www.worldcat.org/oclc/3063435","WorldCat Record")</f>
        <v>WorldCat Record</v>
      </c>
      <c r="AU322" s="3" t="s">
        <v>4136</v>
      </c>
      <c r="AV322" s="3" t="s">
        <v>4137</v>
      </c>
      <c r="AW322" s="3" t="s">
        <v>4138</v>
      </c>
      <c r="AX322" s="3" t="s">
        <v>4138</v>
      </c>
      <c r="AY322" s="3" t="s">
        <v>4139</v>
      </c>
      <c r="AZ322" s="3" t="s">
        <v>75</v>
      </c>
      <c r="BC322" s="3" t="s">
        <v>4140</v>
      </c>
      <c r="BD322" s="3" t="s">
        <v>4141</v>
      </c>
    </row>
    <row r="323" spans="1:56" ht="39" customHeight="1" x14ac:dyDescent="0.25">
      <c r="A323" s="7" t="s">
        <v>58</v>
      </c>
      <c r="B323" s="2" t="s">
        <v>4142</v>
      </c>
      <c r="C323" s="2" t="s">
        <v>4143</v>
      </c>
      <c r="D323" s="2" t="s">
        <v>4144</v>
      </c>
      <c r="F323" s="3" t="s">
        <v>58</v>
      </c>
      <c r="G323" s="3" t="s">
        <v>59</v>
      </c>
      <c r="H323" s="3" t="s">
        <v>58</v>
      </c>
      <c r="I323" s="3" t="s">
        <v>58</v>
      </c>
      <c r="J323" s="3" t="s">
        <v>60</v>
      </c>
      <c r="K323" s="2" t="s">
        <v>4145</v>
      </c>
      <c r="L323" s="2" t="s">
        <v>4146</v>
      </c>
      <c r="M323" s="3" t="s">
        <v>759</v>
      </c>
      <c r="O323" s="3" t="s">
        <v>65</v>
      </c>
      <c r="P323" s="3" t="s">
        <v>4147</v>
      </c>
      <c r="R323" s="3" t="s">
        <v>68</v>
      </c>
      <c r="S323" s="4">
        <v>4</v>
      </c>
      <c r="T323" s="4">
        <v>4</v>
      </c>
      <c r="U323" s="5" t="s">
        <v>4148</v>
      </c>
      <c r="V323" s="5" t="s">
        <v>4148</v>
      </c>
      <c r="W323" s="5" t="s">
        <v>4149</v>
      </c>
      <c r="X323" s="5" t="s">
        <v>4149</v>
      </c>
      <c r="Y323" s="4">
        <v>406</v>
      </c>
      <c r="Z323" s="4">
        <v>319</v>
      </c>
      <c r="AA323" s="4">
        <v>656</v>
      </c>
      <c r="AB323" s="4">
        <v>2</v>
      </c>
      <c r="AC323" s="4">
        <v>6</v>
      </c>
      <c r="AD323" s="4">
        <v>17</v>
      </c>
      <c r="AE323" s="4">
        <v>32</v>
      </c>
      <c r="AF323" s="4">
        <v>6</v>
      </c>
      <c r="AG323" s="4">
        <v>11</v>
      </c>
      <c r="AH323" s="4">
        <v>4</v>
      </c>
      <c r="AI323" s="4">
        <v>8</v>
      </c>
      <c r="AJ323" s="4">
        <v>10</v>
      </c>
      <c r="AK323" s="4">
        <v>13</v>
      </c>
      <c r="AL323" s="4">
        <v>1</v>
      </c>
      <c r="AM323" s="4">
        <v>5</v>
      </c>
      <c r="AN323" s="4">
        <v>0</v>
      </c>
      <c r="AO323" s="4">
        <v>1</v>
      </c>
      <c r="AP323" s="3" t="s">
        <v>58</v>
      </c>
      <c r="AQ323" s="3" t="s">
        <v>58</v>
      </c>
      <c r="AS323" s="6" t="str">
        <f>HYPERLINK("https://creighton-primo.hosted.exlibrisgroup.com/primo-explore/search?tab=default_tab&amp;search_scope=EVERYTHING&amp;vid=01CRU&amp;lang=en_US&amp;offset=0&amp;query=any,contains,991001408139702656","Catalog Record")</f>
        <v>Catalog Record</v>
      </c>
      <c r="AT323" s="6" t="str">
        <f>HYPERLINK("http://www.worldcat.org/oclc/24010128","WorldCat Record")</f>
        <v>WorldCat Record</v>
      </c>
      <c r="AU323" s="3" t="s">
        <v>4150</v>
      </c>
      <c r="AV323" s="3" t="s">
        <v>4151</v>
      </c>
      <c r="AW323" s="3" t="s">
        <v>4152</v>
      </c>
      <c r="AX323" s="3" t="s">
        <v>4152</v>
      </c>
      <c r="AY323" s="3" t="s">
        <v>4153</v>
      </c>
      <c r="AZ323" s="3" t="s">
        <v>75</v>
      </c>
      <c r="BB323" s="3" t="s">
        <v>4154</v>
      </c>
      <c r="BC323" s="3" t="s">
        <v>4155</v>
      </c>
      <c r="BD323" s="3" t="s">
        <v>4156</v>
      </c>
    </row>
    <row r="324" spans="1:56" ht="39" customHeight="1" x14ac:dyDescent="0.25">
      <c r="A324" s="7" t="s">
        <v>58</v>
      </c>
      <c r="B324" s="2" t="s">
        <v>4157</v>
      </c>
      <c r="C324" s="2" t="s">
        <v>4158</v>
      </c>
      <c r="D324" s="2" t="s">
        <v>4159</v>
      </c>
      <c r="F324" s="3" t="s">
        <v>58</v>
      </c>
      <c r="G324" s="3" t="s">
        <v>59</v>
      </c>
      <c r="H324" s="3" t="s">
        <v>58</v>
      </c>
      <c r="I324" s="3" t="s">
        <v>58</v>
      </c>
      <c r="J324" s="3" t="s">
        <v>60</v>
      </c>
      <c r="K324" s="2" t="s">
        <v>4160</v>
      </c>
      <c r="L324" s="2" t="s">
        <v>4161</v>
      </c>
      <c r="M324" s="3" t="s">
        <v>374</v>
      </c>
      <c r="O324" s="3" t="s">
        <v>65</v>
      </c>
      <c r="P324" s="3" t="s">
        <v>186</v>
      </c>
      <c r="R324" s="3" t="s">
        <v>68</v>
      </c>
      <c r="S324" s="4">
        <v>3</v>
      </c>
      <c r="T324" s="4">
        <v>3</v>
      </c>
      <c r="U324" s="5" t="s">
        <v>4148</v>
      </c>
      <c r="V324" s="5" t="s">
        <v>4148</v>
      </c>
      <c r="W324" s="5" t="s">
        <v>4162</v>
      </c>
      <c r="X324" s="5" t="s">
        <v>4162</v>
      </c>
      <c r="Y324" s="4">
        <v>168</v>
      </c>
      <c r="Z324" s="4">
        <v>112</v>
      </c>
      <c r="AA324" s="4">
        <v>112</v>
      </c>
      <c r="AB324" s="4">
        <v>2</v>
      </c>
      <c r="AC324" s="4">
        <v>2</v>
      </c>
      <c r="AD324" s="4">
        <v>7</v>
      </c>
      <c r="AE324" s="4">
        <v>7</v>
      </c>
      <c r="AF324" s="4">
        <v>1</v>
      </c>
      <c r="AG324" s="4">
        <v>1</v>
      </c>
      <c r="AH324" s="4">
        <v>2</v>
      </c>
      <c r="AI324" s="4">
        <v>2</v>
      </c>
      <c r="AJ324" s="4">
        <v>5</v>
      </c>
      <c r="AK324" s="4">
        <v>5</v>
      </c>
      <c r="AL324" s="4">
        <v>1</v>
      </c>
      <c r="AM324" s="4">
        <v>1</v>
      </c>
      <c r="AN324" s="4">
        <v>0</v>
      </c>
      <c r="AO324" s="4">
        <v>0</v>
      </c>
      <c r="AP324" s="3" t="s">
        <v>58</v>
      </c>
      <c r="AQ324" s="3" t="s">
        <v>58</v>
      </c>
      <c r="AS324" s="6" t="str">
        <f>HYPERLINK("https://creighton-primo.hosted.exlibrisgroup.com/primo-explore/search?tab=default_tab&amp;search_scope=EVERYTHING&amp;vid=01CRU&amp;lang=en_US&amp;offset=0&amp;query=any,contains,991002291269702656","Catalog Record")</f>
        <v>Catalog Record</v>
      </c>
      <c r="AT324" s="6" t="str">
        <f>HYPERLINK("http://www.worldcat.org/oclc/29702608","WorldCat Record")</f>
        <v>WorldCat Record</v>
      </c>
      <c r="AU324" s="3" t="s">
        <v>4163</v>
      </c>
      <c r="AV324" s="3" t="s">
        <v>4164</v>
      </c>
      <c r="AW324" s="3" t="s">
        <v>4165</v>
      </c>
      <c r="AX324" s="3" t="s">
        <v>4165</v>
      </c>
      <c r="AY324" s="3" t="s">
        <v>4166</v>
      </c>
      <c r="AZ324" s="3" t="s">
        <v>75</v>
      </c>
      <c r="BB324" s="3" t="s">
        <v>4167</v>
      </c>
      <c r="BC324" s="3" t="s">
        <v>4168</v>
      </c>
      <c r="BD324" s="3" t="s">
        <v>4169</v>
      </c>
    </row>
    <row r="325" spans="1:56" ht="39" customHeight="1" x14ac:dyDescent="0.25">
      <c r="A325" s="7" t="s">
        <v>58</v>
      </c>
      <c r="B325" s="2" t="s">
        <v>4170</v>
      </c>
      <c r="C325" s="2" t="s">
        <v>4171</v>
      </c>
      <c r="D325" s="2" t="s">
        <v>4172</v>
      </c>
      <c r="F325" s="3" t="s">
        <v>58</v>
      </c>
      <c r="G325" s="3" t="s">
        <v>59</v>
      </c>
      <c r="H325" s="3" t="s">
        <v>58</v>
      </c>
      <c r="I325" s="3" t="s">
        <v>58</v>
      </c>
      <c r="J325" s="3" t="s">
        <v>60</v>
      </c>
      <c r="K325" s="2" t="s">
        <v>4173</v>
      </c>
      <c r="L325" s="2" t="s">
        <v>4174</v>
      </c>
      <c r="M325" s="3" t="s">
        <v>966</v>
      </c>
      <c r="O325" s="3" t="s">
        <v>65</v>
      </c>
      <c r="P325" s="3" t="s">
        <v>66</v>
      </c>
      <c r="Q325" s="2" t="s">
        <v>4175</v>
      </c>
      <c r="R325" s="3" t="s">
        <v>68</v>
      </c>
      <c r="S325" s="4">
        <v>3</v>
      </c>
      <c r="T325" s="4">
        <v>3</v>
      </c>
      <c r="U325" s="5" t="s">
        <v>4148</v>
      </c>
      <c r="V325" s="5" t="s">
        <v>4148</v>
      </c>
      <c r="W325" s="5" t="s">
        <v>4176</v>
      </c>
      <c r="X325" s="5" t="s">
        <v>4176</v>
      </c>
      <c r="Y325" s="4">
        <v>384</v>
      </c>
      <c r="Z325" s="4">
        <v>268</v>
      </c>
      <c r="AA325" s="4">
        <v>274</v>
      </c>
      <c r="AB325" s="4">
        <v>2</v>
      </c>
      <c r="AC325" s="4">
        <v>2</v>
      </c>
      <c r="AD325" s="4">
        <v>16</v>
      </c>
      <c r="AE325" s="4">
        <v>16</v>
      </c>
      <c r="AF325" s="4">
        <v>5</v>
      </c>
      <c r="AG325" s="4">
        <v>5</v>
      </c>
      <c r="AH325" s="4">
        <v>5</v>
      </c>
      <c r="AI325" s="4">
        <v>5</v>
      </c>
      <c r="AJ325" s="4">
        <v>10</v>
      </c>
      <c r="AK325" s="4">
        <v>10</v>
      </c>
      <c r="AL325" s="4">
        <v>1</v>
      </c>
      <c r="AM325" s="4">
        <v>1</v>
      </c>
      <c r="AN325" s="4">
        <v>0</v>
      </c>
      <c r="AO325" s="4">
        <v>0</v>
      </c>
      <c r="AP325" s="3" t="s">
        <v>58</v>
      </c>
      <c r="AQ325" s="3" t="s">
        <v>58</v>
      </c>
      <c r="AS325" s="6" t="str">
        <f>HYPERLINK("https://creighton-primo.hosted.exlibrisgroup.com/primo-explore/search?tab=default_tab&amp;search_scope=EVERYTHING&amp;vid=01CRU&amp;lang=en_US&amp;offset=0&amp;query=any,contains,991002132359702656","Catalog Record")</f>
        <v>Catalog Record</v>
      </c>
      <c r="AT325" s="6" t="str">
        <f>HYPERLINK("http://www.worldcat.org/oclc/27337732","WorldCat Record")</f>
        <v>WorldCat Record</v>
      </c>
      <c r="AU325" s="3" t="s">
        <v>4177</v>
      </c>
      <c r="AV325" s="3" t="s">
        <v>4178</v>
      </c>
      <c r="AW325" s="3" t="s">
        <v>4179</v>
      </c>
      <c r="AX325" s="3" t="s">
        <v>4179</v>
      </c>
      <c r="AY325" s="3" t="s">
        <v>4180</v>
      </c>
      <c r="AZ325" s="3" t="s">
        <v>75</v>
      </c>
      <c r="BB325" s="3" t="s">
        <v>4181</v>
      </c>
      <c r="BC325" s="3" t="s">
        <v>4182</v>
      </c>
      <c r="BD325" s="3" t="s">
        <v>4183</v>
      </c>
    </row>
    <row r="326" spans="1:56" ht="39" customHeight="1" x14ac:dyDescent="0.25">
      <c r="A326" s="7" t="s">
        <v>58</v>
      </c>
      <c r="B326" s="2" t="s">
        <v>4184</v>
      </c>
      <c r="C326" s="2" t="s">
        <v>4185</v>
      </c>
      <c r="D326" s="2" t="s">
        <v>4186</v>
      </c>
      <c r="F326" s="3" t="s">
        <v>58</v>
      </c>
      <c r="G326" s="3" t="s">
        <v>59</v>
      </c>
      <c r="H326" s="3" t="s">
        <v>58</v>
      </c>
      <c r="I326" s="3" t="s">
        <v>58</v>
      </c>
      <c r="J326" s="3" t="s">
        <v>60</v>
      </c>
      <c r="K326" s="2" t="s">
        <v>4187</v>
      </c>
      <c r="L326" s="2" t="s">
        <v>4188</v>
      </c>
      <c r="M326" s="3" t="s">
        <v>144</v>
      </c>
      <c r="O326" s="3" t="s">
        <v>65</v>
      </c>
      <c r="P326" s="3" t="s">
        <v>3503</v>
      </c>
      <c r="R326" s="3" t="s">
        <v>68</v>
      </c>
      <c r="S326" s="4">
        <v>1</v>
      </c>
      <c r="T326" s="4">
        <v>1</v>
      </c>
      <c r="U326" s="5" t="s">
        <v>4189</v>
      </c>
      <c r="V326" s="5" t="s">
        <v>4189</v>
      </c>
      <c r="W326" s="5" t="s">
        <v>3989</v>
      </c>
      <c r="X326" s="5" t="s">
        <v>3989</v>
      </c>
      <c r="Y326" s="4">
        <v>649</v>
      </c>
      <c r="Z326" s="4">
        <v>552</v>
      </c>
      <c r="AA326" s="4">
        <v>558</v>
      </c>
      <c r="AB326" s="4">
        <v>3</v>
      </c>
      <c r="AC326" s="4">
        <v>3</v>
      </c>
      <c r="AD326" s="4">
        <v>20</v>
      </c>
      <c r="AE326" s="4">
        <v>20</v>
      </c>
      <c r="AF326" s="4">
        <v>7</v>
      </c>
      <c r="AG326" s="4">
        <v>7</v>
      </c>
      <c r="AH326" s="4">
        <v>4</v>
      </c>
      <c r="AI326" s="4">
        <v>4</v>
      </c>
      <c r="AJ326" s="4">
        <v>12</v>
      </c>
      <c r="AK326" s="4">
        <v>12</v>
      </c>
      <c r="AL326" s="4">
        <v>2</v>
      </c>
      <c r="AM326" s="4">
        <v>2</v>
      </c>
      <c r="AN326" s="4">
        <v>0</v>
      </c>
      <c r="AO326" s="4">
        <v>0</v>
      </c>
      <c r="AP326" s="3" t="s">
        <v>58</v>
      </c>
      <c r="AQ326" s="3" t="s">
        <v>132</v>
      </c>
      <c r="AR326" s="6" t="str">
        <f>HYPERLINK("http://catalog.hathitrust.org/Record/000179353","HathiTrust Record")</f>
        <v>HathiTrust Record</v>
      </c>
      <c r="AS326" s="6" t="str">
        <f>HYPERLINK("https://creighton-primo.hosted.exlibrisgroup.com/primo-explore/search?tab=default_tab&amp;search_scope=EVERYTHING&amp;vid=01CRU&amp;lang=en_US&amp;offset=0&amp;query=any,contains,991004588059702656","Catalog Record")</f>
        <v>Catalog Record</v>
      </c>
      <c r="AT326" s="6" t="str">
        <f>HYPERLINK("http://www.worldcat.org/oclc/4101355","WorldCat Record")</f>
        <v>WorldCat Record</v>
      </c>
      <c r="AU326" s="3" t="s">
        <v>4190</v>
      </c>
      <c r="AV326" s="3" t="s">
        <v>4191</v>
      </c>
      <c r="AW326" s="3" t="s">
        <v>4192</v>
      </c>
      <c r="AX326" s="3" t="s">
        <v>4192</v>
      </c>
      <c r="AY326" s="3" t="s">
        <v>4193</v>
      </c>
      <c r="AZ326" s="3" t="s">
        <v>75</v>
      </c>
      <c r="BB326" s="3" t="s">
        <v>4194</v>
      </c>
      <c r="BC326" s="3" t="s">
        <v>4195</v>
      </c>
      <c r="BD326" s="3" t="s">
        <v>4196</v>
      </c>
    </row>
    <row r="327" spans="1:56" ht="39" customHeight="1" x14ac:dyDescent="0.25">
      <c r="A327" s="7" t="s">
        <v>58</v>
      </c>
      <c r="B327" s="2" t="s">
        <v>4197</v>
      </c>
      <c r="C327" s="2" t="s">
        <v>4198</v>
      </c>
      <c r="D327" s="2" t="s">
        <v>4199</v>
      </c>
      <c r="F327" s="3" t="s">
        <v>58</v>
      </c>
      <c r="G327" s="3" t="s">
        <v>59</v>
      </c>
      <c r="H327" s="3" t="s">
        <v>58</v>
      </c>
      <c r="I327" s="3" t="s">
        <v>58</v>
      </c>
      <c r="J327" s="3" t="s">
        <v>60</v>
      </c>
      <c r="K327" s="2" t="s">
        <v>4200</v>
      </c>
      <c r="L327" s="2" t="s">
        <v>4201</v>
      </c>
      <c r="M327" s="3" t="s">
        <v>3656</v>
      </c>
      <c r="O327" s="3" t="s">
        <v>65</v>
      </c>
      <c r="P327" s="3" t="s">
        <v>84</v>
      </c>
      <c r="Q327" s="2" t="s">
        <v>4202</v>
      </c>
      <c r="R327" s="3" t="s">
        <v>68</v>
      </c>
      <c r="S327" s="4">
        <v>4</v>
      </c>
      <c r="T327" s="4">
        <v>4</v>
      </c>
      <c r="U327" s="5" t="s">
        <v>4203</v>
      </c>
      <c r="V327" s="5" t="s">
        <v>4203</v>
      </c>
      <c r="W327" s="5" t="s">
        <v>4203</v>
      </c>
      <c r="X327" s="5" t="s">
        <v>4203</v>
      </c>
      <c r="Y327" s="4">
        <v>394</v>
      </c>
      <c r="Z327" s="4">
        <v>360</v>
      </c>
      <c r="AA327" s="4">
        <v>1070</v>
      </c>
      <c r="AB327" s="4">
        <v>4</v>
      </c>
      <c r="AC327" s="4">
        <v>5</v>
      </c>
      <c r="AD327" s="4">
        <v>17</v>
      </c>
      <c r="AE327" s="4">
        <v>26</v>
      </c>
      <c r="AF327" s="4">
        <v>4</v>
      </c>
      <c r="AG327" s="4">
        <v>10</v>
      </c>
      <c r="AH327" s="4">
        <v>3</v>
      </c>
      <c r="AI327" s="4">
        <v>5</v>
      </c>
      <c r="AJ327" s="4">
        <v>10</v>
      </c>
      <c r="AK327" s="4">
        <v>12</v>
      </c>
      <c r="AL327" s="4">
        <v>3</v>
      </c>
      <c r="AM327" s="4">
        <v>4</v>
      </c>
      <c r="AN327" s="4">
        <v>0</v>
      </c>
      <c r="AO327" s="4">
        <v>0</v>
      </c>
      <c r="AP327" s="3" t="s">
        <v>58</v>
      </c>
      <c r="AQ327" s="3" t="s">
        <v>132</v>
      </c>
      <c r="AR327" s="6" t="str">
        <f>HYPERLINK("http://catalog.hathitrust.org/Record/003949467","HathiTrust Record")</f>
        <v>HathiTrust Record</v>
      </c>
      <c r="AS327" s="6" t="str">
        <f>HYPERLINK("https://creighton-primo.hosted.exlibrisgroup.com/primo-explore/search?tab=default_tab&amp;search_scope=EVERYTHING&amp;vid=01CRU&amp;lang=en_US&amp;offset=0&amp;query=any,contains,991003251149702656","Catalog Record")</f>
        <v>Catalog Record</v>
      </c>
      <c r="AT327" s="6" t="str">
        <f>HYPERLINK("http://www.worldcat.org/oclc/36728444","WorldCat Record")</f>
        <v>WorldCat Record</v>
      </c>
      <c r="AU327" s="3" t="s">
        <v>4204</v>
      </c>
      <c r="AV327" s="3" t="s">
        <v>4205</v>
      </c>
      <c r="AW327" s="3" t="s">
        <v>4206</v>
      </c>
      <c r="AX327" s="3" t="s">
        <v>4206</v>
      </c>
      <c r="AY327" s="3" t="s">
        <v>4207</v>
      </c>
      <c r="AZ327" s="3" t="s">
        <v>75</v>
      </c>
      <c r="BB327" s="3" t="s">
        <v>4208</v>
      </c>
      <c r="BC327" s="3" t="s">
        <v>4209</v>
      </c>
      <c r="BD327" s="3" t="s">
        <v>4210</v>
      </c>
    </row>
    <row r="328" spans="1:56" ht="39" customHeight="1" x14ac:dyDescent="0.25">
      <c r="A328" s="7" t="s">
        <v>58</v>
      </c>
      <c r="B328" s="2" t="s">
        <v>4211</v>
      </c>
      <c r="C328" s="2" t="s">
        <v>4212</v>
      </c>
      <c r="D328" s="2" t="s">
        <v>4213</v>
      </c>
      <c r="F328" s="3" t="s">
        <v>58</v>
      </c>
      <c r="G328" s="3" t="s">
        <v>59</v>
      </c>
      <c r="H328" s="3" t="s">
        <v>58</v>
      </c>
      <c r="I328" s="3" t="s">
        <v>58</v>
      </c>
      <c r="J328" s="3" t="s">
        <v>60</v>
      </c>
      <c r="K328" s="2" t="s">
        <v>4214</v>
      </c>
      <c r="L328" s="2" t="s">
        <v>4215</v>
      </c>
      <c r="M328" s="3" t="s">
        <v>1302</v>
      </c>
      <c r="N328" s="2" t="s">
        <v>476</v>
      </c>
      <c r="O328" s="3" t="s">
        <v>65</v>
      </c>
      <c r="P328" s="3" t="s">
        <v>186</v>
      </c>
      <c r="R328" s="3" t="s">
        <v>68</v>
      </c>
      <c r="S328" s="4">
        <v>3</v>
      </c>
      <c r="T328" s="4">
        <v>3</v>
      </c>
      <c r="U328" s="5" t="s">
        <v>4216</v>
      </c>
      <c r="V328" s="5" t="s">
        <v>4216</v>
      </c>
      <c r="W328" s="5" t="s">
        <v>4217</v>
      </c>
      <c r="X328" s="5" t="s">
        <v>4217</v>
      </c>
      <c r="Y328" s="4">
        <v>908</v>
      </c>
      <c r="Z328" s="4">
        <v>875</v>
      </c>
      <c r="AA328" s="4">
        <v>897</v>
      </c>
      <c r="AB328" s="4">
        <v>7</v>
      </c>
      <c r="AC328" s="4">
        <v>7</v>
      </c>
      <c r="AD328" s="4">
        <v>27</v>
      </c>
      <c r="AE328" s="4">
        <v>27</v>
      </c>
      <c r="AF328" s="4">
        <v>13</v>
      </c>
      <c r="AG328" s="4">
        <v>13</v>
      </c>
      <c r="AH328" s="4">
        <v>5</v>
      </c>
      <c r="AI328" s="4">
        <v>5</v>
      </c>
      <c r="AJ328" s="4">
        <v>11</v>
      </c>
      <c r="AK328" s="4">
        <v>11</v>
      </c>
      <c r="AL328" s="4">
        <v>4</v>
      </c>
      <c r="AM328" s="4">
        <v>4</v>
      </c>
      <c r="AN328" s="4">
        <v>0</v>
      </c>
      <c r="AO328" s="4">
        <v>0</v>
      </c>
      <c r="AP328" s="3" t="s">
        <v>58</v>
      </c>
      <c r="AQ328" s="3" t="s">
        <v>58</v>
      </c>
      <c r="AS328" s="6" t="str">
        <f>HYPERLINK("https://creighton-primo.hosted.exlibrisgroup.com/primo-explore/search?tab=default_tab&amp;search_scope=EVERYTHING&amp;vid=01CRU&amp;lang=en_US&amp;offset=0&amp;query=any,contains,991003916829702656","Catalog Record")</f>
        <v>Catalog Record</v>
      </c>
      <c r="AT328" s="6" t="str">
        <f>HYPERLINK("http://www.worldcat.org/oclc/49727873","WorldCat Record")</f>
        <v>WorldCat Record</v>
      </c>
      <c r="AU328" s="3" t="s">
        <v>4218</v>
      </c>
      <c r="AV328" s="3" t="s">
        <v>4219</v>
      </c>
      <c r="AW328" s="3" t="s">
        <v>4220</v>
      </c>
      <c r="AX328" s="3" t="s">
        <v>4220</v>
      </c>
      <c r="AY328" s="3" t="s">
        <v>4221</v>
      </c>
      <c r="AZ328" s="3" t="s">
        <v>75</v>
      </c>
      <c r="BB328" s="3" t="s">
        <v>4222</v>
      </c>
      <c r="BC328" s="3" t="s">
        <v>4223</v>
      </c>
      <c r="BD328" s="3" t="s">
        <v>4224</v>
      </c>
    </row>
    <row r="329" spans="1:56" ht="39" customHeight="1" x14ac:dyDescent="0.25">
      <c r="A329" s="7" t="s">
        <v>58</v>
      </c>
      <c r="B329" s="2" t="s">
        <v>4225</v>
      </c>
      <c r="C329" s="2" t="s">
        <v>4226</v>
      </c>
      <c r="D329" s="2" t="s">
        <v>4227</v>
      </c>
      <c r="F329" s="3" t="s">
        <v>58</v>
      </c>
      <c r="G329" s="3" t="s">
        <v>59</v>
      </c>
      <c r="H329" s="3" t="s">
        <v>58</v>
      </c>
      <c r="I329" s="3" t="s">
        <v>58</v>
      </c>
      <c r="J329" s="3" t="s">
        <v>60</v>
      </c>
      <c r="K329" s="2" t="s">
        <v>4228</v>
      </c>
      <c r="L329" s="2" t="s">
        <v>4229</v>
      </c>
      <c r="M329" s="3" t="s">
        <v>2418</v>
      </c>
      <c r="O329" s="3" t="s">
        <v>65</v>
      </c>
      <c r="P329" s="3" t="s">
        <v>245</v>
      </c>
      <c r="R329" s="3" t="s">
        <v>68</v>
      </c>
      <c r="S329" s="4">
        <v>1</v>
      </c>
      <c r="T329" s="4">
        <v>1</v>
      </c>
      <c r="U329" s="5" t="s">
        <v>4230</v>
      </c>
      <c r="V329" s="5" t="s">
        <v>4230</v>
      </c>
      <c r="W329" s="5" t="s">
        <v>3989</v>
      </c>
      <c r="X329" s="5" t="s">
        <v>3989</v>
      </c>
      <c r="Y329" s="4">
        <v>74</v>
      </c>
      <c r="Z329" s="4">
        <v>67</v>
      </c>
      <c r="AA329" s="4">
        <v>321</v>
      </c>
      <c r="AB329" s="4">
        <v>1</v>
      </c>
      <c r="AC329" s="4">
        <v>2</v>
      </c>
      <c r="AD329" s="4">
        <v>1</v>
      </c>
      <c r="AE329" s="4">
        <v>6</v>
      </c>
      <c r="AF329" s="4">
        <v>0</v>
      </c>
      <c r="AG329" s="4">
        <v>1</v>
      </c>
      <c r="AH329" s="4">
        <v>0</v>
      </c>
      <c r="AI329" s="4">
        <v>0</v>
      </c>
      <c r="AJ329" s="4">
        <v>1</v>
      </c>
      <c r="AK329" s="4">
        <v>4</v>
      </c>
      <c r="AL329" s="4">
        <v>0</v>
      </c>
      <c r="AM329" s="4">
        <v>1</v>
      </c>
      <c r="AN329" s="4">
        <v>0</v>
      </c>
      <c r="AO329" s="4">
        <v>0</v>
      </c>
      <c r="AP329" s="3" t="s">
        <v>58</v>
      </c>
      <c r="AQ329" s="3" t="s">
        <v>132</v>
      </c>
      <c r="AR329" s="6" t="str">
        <f>HYPERLINK("http://catalog.hathitrust.org/Record/001400748","HathiTrust Record")</f>
        <v>HathiTrust Record</v>
      </c>
      <c r="AS329" s="6" t="str">
        <f>HYPERLINK("https://creighton-primo.hosted.exlibrisgroup.com/primo-explore/search?tab=default_tab&amp;search_scope=EVERYTHING&amp;vid=01CRU&amp;lang=en_US&amp;offset=0&amp;query=any,contains,991002414719702656","Catalog Record")</f>
        <v>Catalog Record</v>
      </c>
      <c r="AT329" s="6" t="str">
        <f>HYPERLINK("http://www.worldcat.org/oclc/341209","WorldCat Record")</f>
        <v>WorldCat Record</v>
      </c>
      <c r="AU329" s="3" t="s">
        <v>4231</v>
      </c>
      <c r="AV329" s="3" t="s">
        <v>4232</v>
      </c>
      <c r="AW329" s="3" t="s">
        <v>4233</v>
      </c>
      <c r="AX329" s="3" t="s">
        <v>4233</v>
      </c>
      <c r="AY329" s="3" t="s">
        <v>4234</v>
      </c>
      <c r="AZ329" s="3" t="s">
        <v>75</v>
      </c>
      <c r="BB329" s="3" t="s">
        <v>4235</v>
      </c>
      <c r="BC329" s="3" t="s">
        <v>4236</v>
      </c>
      <c r="BD329" s="3" t="s">
        <v>4237</v>
      </c>
    </row>
    <row r="330" spans="1:56" ht="39" customHeight="1" x14ac:dyDescent="0.25">
      <c r="A330" s="7" t="s">
        <v>58</v>
      </c>
      <c r="B330" s="2" t="s">
        <v>4238</v>
      </c>
      <c r="C330" s="2" t="s">
        <v>4239</v>
      </c>
      <c r="D330" s="2" t="s">
        <v>4240</v>
      </c>
      <c r="F330" s="3" t="s">
        <v>58</v>
      </c>
      <c r="G330" s="3" t="s">
        <v>59</v>
      </c>
      <c r="H330" s="3" t="s">
        <v>58</v>
      </c>
      <c r="I330" s="3" t="s">
        <v>58</v>
      </c>
      <c r="J330" s="3" t="s">
        <v>60</v>
      </c>
      <c r="K330" s="2" t="s">
        <v>4241</v>
      </c>
      <c r="L330" s="2" t="s">
        <v>4242</v>
      </c>
      <c r="M330" s="3" t="s">
        <v>83</v>
      </c>
      <c r="O330" s="3" t="s">
        <v>65</v>
      </c>
      <c r="P330" s="3" t="s">
        <v>4243</v>
      </c>
      <c r="R330" s="3" t="s">
        <v>68</v>
      </c>
      <c r="S330" s="4">
        <v>2</v>
      </c>
      <c r="T330" s="4">
        <v>2</v>
      </c>
      <c r="U330" s="5" t="s">
        <v>4244</v>
      </c>
      <c r="V330" s="5" t="s">
        <v>4244</v>
      </c>
      <c r="W330" s="5" t="s">
        <v>698</v>
      </c>
      <c r="X330" s="5" t="s">
        <v>698</v>
      </c>
      <c r="Y330" s="4">
        <v>378</v>
      </c>
      <c r="Z330" s="4">
        <v>328</v>
      </c>
      <c r="AA330" s="4">
        <v>332</v>
      </c>
      <c r="AB330" s="4">
        <v>2</v>
      </c>
      <c r="AC330" s="4">
        <v>2</v>
      </c>
      <c r="AD330" s="4">
        <v>15</v>
      </c>
      <c r="AE330" s="4">
        <v>15</v>
      </c>
      <c r="AF330" s="4">
        <v>2</v>
      </c>
      <c r="AG330" s="4">
        <v>2</v>
      </c>
      <c r="AH330" s="4">
        <v>4</v>
      </c>
      <c r="AI330" s="4">
        <v>4</v>
      </c>
      <c r="AJ330" s="4">
        <v>11</v>
      </c>
      <c r="AK330" s="4">
        <v>11</v>
      </c>
      <c r="AL330" s="4">
        <v>1</v>
      </c>
      <c r="AM330" s="4">
        <v>1</v>
      </c>
      <c r="AN330" s="4">
        <v>0</v>
      </c>
      <c r="AO330" s="4">
        <v>0</v>
      </c>
      <c r="AP330" s="3" t="s">
        <v>58</v>
      </c>
      <c r="AQ330" s="3" t="s">
        <v>132</v>
      </c>
      <c r="AR330" s="6" t="str">
        <f>HYPERLINK("http://catalog.hathitrust.org/Record/001413869","HathiTrust Record")</f>
        <v>HathiTrust Record</v>
      </c>
      <c r="AS330" s="6" t="str">
        <f>HYPERLINK("https://creighton-primo.hosted.exlibrisgroup.com/primo-explore/search?tab=default_tab&amp;search_scope=EVERYTHING&amp;vid=01CRU&amp;lang=en_US&amp;offset=0&amp;query=any,contains,991000517009702656","Catalog Record")</f>
        <v>Catalog Record</v>
      </c>
      <c r="AT330" s="6" t="str">
        <f>HYPERLINK("http://www.worldcat.org/oclc/86271","WorldCat Record")</f>
        <v>WorldCat Record</v>
      </c>
      <c r="AU330" s="3" t="s">
        <v>4245</v>
      </c>
      <c r="AV330" s="3" t="s">
        <v>4246</v>
      </c>
      <c r="AW330" s="3" t="s">
        <v>4247</v>
      </c>
      <c r="AX330" s="3" t="s">
        <v>4247</v>
      </c>
      <c r="AY330" s="3" t="s">
        <v>4248</v>
      </c>
      <c r="AZ330" s="3" t="s">
        <v>75</v>
      </c>
      <c r="BC330" s="3" t="s">
        <v>4249</v>
      </c>
      <c r="BD330" s="3" t="s">
        <v>4250</v>
      </c>
    </row>
    <row r="331" spans="1:56" ht="39" customHeight="1" x14ac:dyDescent="0.25">
      <c r="A331" s="7" t="s">
        <v>58</v>
      </c>
      <c r="B331" s="2" t="s">
        <v>4251</v>
      </c>
      <c r="C331" s="2" t="s">
        <v>4252</v>
      </c>
      <c r="D331" s="2" t="s">
        <v>4253</v>
      </c>
      <c r="F331" s="3" t="s">
        <v>58</v>
      </c>
      <c r="G331" s="3" t="s">
        <v>59</v>
      </c>
      <c r="H331" s="3" t="s">
        <v>58</v>
      </c>
      <c r="I331" s="3" t="s">
        <v>58</v>
      </c>
      <c r="J331" s="3" t="s">
        <v>60</v>
      </c>
      <c r="K331" s="2" t="s">
        <v>4254</v>
      </c>
      <c r="L331" s="2" t="s">
        <v>4255</v>
      </c>
      <c r="M331" s="3" t="s">
        <v>462</v>
      </c>
      <c r="O331" s="3" t="s">
        <v>65</v>
      </c>
      <c r="P331" s="3" t="s">
        <v>129</v>
      </c>
      <c r="Q331" s="2" t="s">
        <v>4256</v>
      </c>
      <c r="R331" s="3" t="s">
        <v>68</v>
      </c>
      <c r="S331" s="4">
        <v>3</v>
      </c>
      <c r="T331" s="4">
        <v>3</v>
      </c>
      <c r="U331" s="5" t="s">
        <v>4257</v>
      </c>
      <c r="V331" s="5" t="s">
        <v>4257</v>
      </c>
      <c r="W331" s="5" t="s">
        <v>3947</v>
      </c>
      <c r="X331" s="5" t="s">
        <v>3947</v>
      </c>
      <c r="Y331" s="4">
        <v>64</v>
      </c>
      <c r="Z331" s="4">
        <v>49</v>
      </c>
      <c r="AA331" s="4">
        <v>50</v>
      </c>
      <c r="AB331" s="4">
        <v>1</v>
      </c>
      <c r="AC331" s="4">
        <v>1</v>
      </c>
      <c r="AD331" s="4">
        <v>4</v>
      </c>
      <c r="AE331" s="4">
        <v>4</v>
      </c>
      <c r="AF331" s="4">
        <v>0</v>
      </c>
      <c r="AG331" s="4">
        <v>0</v>
      </c>
      <c r="AH331" s="4">
        <v>0</v>
      </c>
      <c r="AI331" s="4">
        <v>0</v>
      </c>
      <c r="AJ331" s="4">
        <v>4</v>
      </c>
      <c r="AK331" s="4">
        <v>4</v>
      </c>
      <c r="AL331" s="4">
        <v>0</v>
      </c>
      <c r="AM331" s="4">
        <v>0</v>
      </c>
      <c r="AN331" s="4">
        <v>0</v>
      </c>
      <c r="AO331" s="4">
        <v>0</v>
      </c>
      <c r="AP331" s="3" t="s">
        <v>58</v>
      </c>
      <c r="AQ331" s="3" t="s">
        <v>58</v>
      </c>
      <c r="AS331" s="6" t="str">
        <f>HYPERLINK("https://creighton-primo.hosted.exlibrisgroup.com/primo-explore/search?tab=default_tab&amp;search_scope=EVERYTHING&amp;vid=01CRU&amp;lang=en_US&amp;offset=0&amp;query=any,contains,991000512209702656","Catalog Record")</f>
        <v>Catalog Record</v>
      </c>
      <c r="AT331" s="6" t="str">
        <f>HYPERLINK("http://www.worldcat.org/oclc/11249173","WorldCat Record")</f>
        <v>WorldCat Record</v>
      </c>
      <c r="AU331" s="3" t="s">
        <v>4258</v>
      </c>
      <c r="AV331" s="3" t="s">
        <v>4259</v>
      </c>
      <c r="AW331" s="3" t="s">
        <v>4260</v>
      </c>
      <c r="AX331" s="3" t="s">
        <v>4260</v>
      </c>
      <c r="AY331" s="3" t="s">
        <v>4261</v>
      </c>
      <c r="AZ331" s="3" t="s">
        <v>75</v>
      </c>
      <c r="BB331" s="3" t="s">
        <v>4262</v>
      </c>
      <c r="BC331" s="3" t="s">
        <v>4263</v>
      </c>
      <c r="BD331" s="3" t="s">
        <v>4264</v>
      </c>
    </row>
    <row r="332" spans="1:56" ht="39" customHeight="1" x14ac:dyDescent="0.25">
      <c r="A332" s="7" t="s">
        <v>58</v>
      </c>
      <c r="B332" s="2" t="s">
        <v>4265</v>
      </c>
      <c r="C332" s="2" t="s">
        <v>4266</v>
      </c>
      <c r="D332" s="2" t="s">
        <v>4267</v>
      </c>
      <c r="F332" s="3" t="s">
        <v>58</v>
      </c>
      <c r="G332" s="3" t="s">
        <v>59</v>
      </c>
      <c r="H332" s="3" t="s">
        <v>58</v>
      </c>
      <c r="I332" s="3" t="s">
        <v>58</v>
      </c>
      <c r="J332" s="3" t="s">
        <v>60</v>
      </c>
      <c r="K332" s="2" t="s">
        <v>4268</v>
      </c>
      <c r="L332" s="2" t="s">
        <v>4269</v>
      </c>
      <c r="M332" s="3" t="s">
        <v>1424</v>
      </c>
      <c r="O332" s="3" t="s">
        <v>65</v>
      </c>
      <c r="P332" s="3" t="s">
        <v>492</v>
      </c>
      <c r="R332" s="3" t="s">
        <v>68</v>
      </c>
      <c r="S332" s="4">
        <v>7</v>
      </c>
      <c r="T332" s="4">
        <v>7</v>
      </c>
      <c r="U332" s="5" t="s">
        <v>3381</v>
      </c>
      <c r="V332" s="5" t="s">
        <v>3381</v>
      </c>
      <c r="W332" s="5" t="s">
        <v>698</v>
      </c>
      <c r="X332" s="5" t="s">
        <v>698</v>
      </c>
      <c r="Y332" s="4">
        <v>414</v>
      </c>
      <c r="Z332" s="4">
        <v>371</v>
      </c>
      <c r="AA332" s="4">
        <v>439</v>
      </c>
      <c r="AB332" s="4">
        <v>3</v>
      </c>
      <c r="AC332" s="4">
        <v>3</v>
      </c>
      <c r="AD332" s="4">
        <v>30</v>
      </c>
      <c r="AE332" s="4">
        <v>34</v>
      </c>
      <c r="AF332" s="4">
        <v>12</v>
      </c>
      <c r="AG332" s="4">
        <v>13</v>
      </c>
      <c r="AH332" s="4">
        <v>6</v>
      </c>
      <c r="AI332" s="4">
        <v>7</v>
      </c>
      <c r="AJ332" s="4">
        <v>22</v>
      </c>
      <c r="AK332" s="4">
        <v>26</v>
      </c>
      <c r="AL332" s="4">
        <v>1</v>
      </c>
      <c r="AM332" s="4">
        <v>1</v>
      </c>
      <c r="AN332" s="4">
        <v>0</v>
      </c>
      <c r="AO332" s="4">
        <v>0</v>
      </c>
      <c r="AP332" s="3" t="s">
        <v>58</v>
      </c>
      <c r="AQ332" s="3" t="s">
        <v>132</v>
      </c>
      <c r="AR332" s="6" t="str">
        <f>HYPERLINK("http://catalog.hathitrust.org/Record/007887766","HathiTrust Record")</f>
        <v>HathiTrust Record</v>
      </c>
      <c r="AS332" s="6" t="str">
        <f>HYPERLINK("https://creighton-primo.hosted.exlibrisgroup.com/primo-explore/search?tab=default_tab&amp;search_scope=EVERYTHING&amp;vid=01CRU&amp;lang=en_US&amp;offset=0&amp;query=any,contains,991003242579702656","Catalog Record")</f>
        <v>Catalog Record</v>
      </c>
      <c r="AT332" s="6" t="str">
        <f>HYPERLINK("http://www.worldcat.org/oclc/765713","WorldCat Record")</f>
        <v>WorldCat Record</v>
      </c>
      <c r="AU332" s="3" t="s">
        <v>4270</v>
      </c>
      <c r="AV332" s="3" t="s">
        <v>4271</v>
      </c>
      <c r="AW332" s="3" t="s">
        <v>4272</v>
      </c>
      <c r="AX332" s="3" t="s">
        <v>4272</v>
      </c>
      <c r="AY332" s="3" t="s">
        <v>4273</v>
      </c>
      <c r="AZ332" s="3" t="s">
        <v>75</v>
      </c>
      <c r="BC332" s="3" t="s">
        <v>4274</v>
      </c>
      <c r="BD332" s="3" t="s">
        <v>4275</v>
      </c>
    </row>
    <row r="333" spans="1:56" ht="39" customHeight="1" x14ac:dyDescent="0.25">
      <c r="A333" s="7" t="s">
        <v>58</v>
      </c>
      <c r="B333" s="2" t="s">
        <v>4276</v>
      </c>
      <c r="C333" s="2" t="s">
        <v>4277</v>
      </c>
      <c r="D333" s="2" t="s">
        <v>4278</v>
      </c>
      <c r="F333" s="3" t="s">
        <v>58</v>
      </c>
      <c r="G333" s="3" t="s">
        <v>59</v>
      </c>
      <c r="H333" s="3" t="s">
        <v>58</v>
      </c>
      <c r="I333" s="3" t="s">
        <v>58</v>
      </c>
      <c r="J333" s="3" t="s">
        <v>60</v>
      </c>
      <c r="K333" s="2" t="s">
        <v>4279</v>
      </c>
      <c r="L333" s="2" t="s">
        <v>4280</v>
      </c>
      <c r="M333" s="3" t="s">
        <v>4281</v>
      </c>
      <c r="O333" s="3" t="s">
        <v>65</v>
      </c>
      <c r="P333" s="3" t="s">
        <v>66</v>
      </c>
      <c r="R333" s="3" t="s">
        <v>68</v>
      </c>
      <c r="S333" s="4">
        <v>1</v>
      </c>
      <c r="T333" s="4">
        <v>1</v>
      </c>
      <c r="U333" s="5" t="s">
        <v>4282</v>
      </c>
      <c r="V333" s="5" t="s">
        <v>4282</v>
      </c>
      <c r="W333" s="5" t="s">
        <v>4282</v>
      </c>
      <c r="X333" s="5" t="s">
        <v>4282</v>
      </c>
      <c r="Y333" s="4">
        <v>372</v>
      </c>
      <c r="Z333" s="4">
        <v>297</v>
      </c>
      <c r="AA333" s="4">
        <v>584</v>
      </c>
      <c r="AB333" s="4">
        <v>3</v>
      </c>
      <c r="AC333" s="4">
        <v>18</v>
      </c>
      <c r="AD333" s="4">
        <v>23</v>
      </c>
      <c r="AE333" s="4">
        <v>35</v>
      </c>
      <c r="AF333" s="4">
        <v>11</v>
      </c>
      <c r="AG333" s="4">
        <v>12</v>
      </c>
      <c r="AH333" s="4">
        <v>5</v>
      </c>
      <c r="AI333" s="4">
        <v>7</v>
      </c>
      <c r="AJ333" s="4">
        <v>11</v>
      </c>
      <c r="AK333" s="4">
        <v>13</v>
      </c>
      <c r="AL333" s="4">
        <v>2</v>
      </c>
      <c r="AM333" s="4">
        <v>10</v>
      </c>
      <c r="AN333" s="4">
        <v>0</v>
      </c>
      <c r="AO333" s="4">
        <v>0</v>
      </c>
      <c r="AP333" s="3" t="s">
        <v>58</v>
      </c>
      <c r="AQ333" s="3" t="s">
        <v>58</v>
      </c>
      <c r="AS333" s="6" t="str">
        <f>HYPERLINK("https://creighton-primo.hosted.exlibrisgroup.com/primo-explore/search?tab=default_tab&amp;search_scope=EVERYTHING&amp;vid=01CRU&amp;lang=en_US&amp;offset=0&amp;query=any,contains,991004537379702656","Catalog Record")</f>
        <v>Catalog Record</v>
      </c>
      <c r="AT333" s="6" t="str">
        <f>HYPERLINK("http://www.worldcat.org/oclc/52412323","WorldCat Record")</f>
        <v>WorldCat Record</v>
      </c>
      <c r="AU333" s="3" t="s">
        <v>4283</v>
      </c>
      <c r="AV333" s="3" t="s">
        <v>4284</v>
      </c>
      <c r="AW333" s="3" t="s">
        <v>4285</v>
      </c>
      <c r="AX333" s="3" t="s">
        <v>4285</v>
      </c>
      <c r="AY333" s="3" t="s">
        <v>4286</v>
      </c>
      <c r="AZ333" s="3" t="s">
        <v>75</v>
      </c>
      <c r="BB333" s="3" t="s">
        <v>4287</v>
      </c>
      <c r="BC333" s="3" t="s">
        <v>4288</v>
      </c>
      <c r="BD333" s="3" t="s">
        <v>4289</v>
      </c>
    </row>
    <row r="334" spans="1:56" ht="39" customHeight="1" x14ac:dyDescent="0.25">
      <c r="A334" s="7" t="s">
        <v>58</v>
      </c>
      <c r="B334" s="2" t="s">
        <v>4290</v>
      </c>
      <c r="C334" s="2" t="s">
        <v>4291</v>
      </c>
      <c r="D334" s="2" t="s">
        <v>4292</v>
      </c>
      <c r="F334" s="3" t="s">
        <v>58</v>
      </c>
      <c r="G334" s="3" t="s">
        <v>59</v>
      </c>
      <c r="H334" s="3" t="s">
        <v>58</v>
      </c>
      <c r="I334" s="3" t="s">
        <v>58</v>
      </c>
      <c r="J334" s="3" t="s">
        <v>60</v>
      </c>
      <c r="K334" s="2" t="s">
        <v>4293</v>
      </c>
      <c r="L334" s="2" t="s">
        <v>4294</v>
      </c>
      <c r="M334" s="3" t="s">
        <v>1289</v>
      </c>
      <c r="O334" s="3" t="s">
        <v>65</v>
      </c>
      <c r="P334" s="3" t="s">
        <v>967</v>
      </c>
      <c r="R334" s="3" t="s">
        <v>68</v>
      </c>
      <c r="S334" s="4">
        <v>1</v>
      </c>
      <c r="T334" s="4">
        <v>1</v>
      </c>
      <c r="U334" s="5" t="s">
        <v>4295</v>
      </c>
      <c r="V334" s="5" t="s">
        <v>4295</v>
      </c>
      <c r="W334" s="5" t="s">
        <v>4296</v>
      </c>
      <c r="X334" s="5" t="s">
        <v>4296</v>
      </c>
      <c r="Y334" s="4">
        <v>1516</v>
      </c>
      <c r="Z334" s="4">
        <v>1454</v>
      </c>
      <c r="AA334" s="4">
        <v>1602</v>
      </c>
      <c r="AB334" s="4">
        <v>22</v>
      </c>
      <c r="AC334" s="4">
        <v>25</v>
      </c>
      <c r="AD334" s="4">
        <v>5</v>
      </c>
      <c r="AE334" s="4">
        <v>9</v>
      </c>
      <c r="AF334" s="4">
        <v>3</v>
      </c>
      <c r="AG334" s="4">
        <v>5</v>
      </c>
      <c r="AH334" s="4">
        <v>1</v>
      </c>
      <c r="AI334" s="4">
        <v>2</v>
      </c>
      <c r="AJ334" s="4">
        <v>1</v>
      </c>
      <c r="AK334" s="4">
        <v>1</v>
      </c>
      <c r="AL334" s="4">
        <v>0</v>
      </c>
      <c r="AM334" s="4">
        <v>2</v>
      </c>
      <c r="AN334" s="4">
        <v>1</v>
      </c>
      <c r="AO334" s="4">
        <v>1</v>
      </c>
      <c r="AP334" s="3" t="s">
        <v>58</v>
      </c>
      <c r="AQ334" s="3" t="s">
        <v>58</v>
      </c>
      <c r="AS334" s="6" t="str">
        <f>HYPERLINK("https://creighton-primo.hosted.exlibrisgroup.com/primo-explore/search?tab=default_tab&amp;search_scope=EVERYTHING&amp;vid=01CRU&amp;lang=en_US&amp;offset=0&amp;query=any,contains,991004060319702656","Catalog Record")</f>
        <v>Catalog Record</v>
      </c>
      <c r="AT334" s="6" t="str">
        <f>HYPERLINK("http://www.worldcat.org/oclc/51630805","WorldCat Record")</f>
        <v>WorldCat Record</v>
      </c>
      <c r="AU334" s="3" t="s">
        <v>4297</v>
      </c>
      <c r="AV334" s="3" t="s">
        <v>4298</v>
      </c>
      <c r="AW334" s="3" t="s">
        <v>4299</v>
      </c>
      <c r="AX334" s="3" t="s">
        <v>4299</v>
      </c>
      <c r="AY334" s="3" t="s">
        <v>4300</v>
      </c>
      <c r="AZ334" s="3" t="s">
        <v>75</v>
      </c>
      <c r="BB334" s="3" t="s">
        <v>4301</v>
      </c>
      <c r="BC334" s="3" t="s">
        <v>4302</v>
      </c>
      <c r="BD334" s="3" t="s">
        <v>4303</v>
      </c>
    </row>
    <row r="335" spans="1:56" ht="39" customHeight="1" x14ac:dyDescent="0.25">
      <c r="A335" s="7" t="s">
        <v>58</v>
      </c>
      <c r="B335" s="2" t="s">
        <v>4304</v>
      </c>
      <c r="C335" s="2" t="s">
        <v>4305</v>
      </c>
      <c r="D335" s="2" t="s">
        <v>4306</v>
      </c>
      <c r="F335" s="3" t="s">
        <v>58</v>
      </c>
      <c r="G335" s="3" t="s">
        <v>59</v>
      </c>
      <c r="H335" s="3" t="s">
        <v>58</v>
      </c>
      <c r="I335" s="3" t="s">
        <v>58</v>
      </c>
      <c r="J335" s="3" t="s">
        <v>60</v>
      </c>
      <c r="K335" s="2" t="s">
        <v>4307</v>
      </c>
      <c r="L335" s="2" t="s">
        <v>4308</v>
      </c>
      <c r="M335" s="3" t="s">
        <v>709</v>
      </c>
      <c r="O335" s="3" t="s">
        <v>65</v>
      </c>
      <c r="P335" s="3" t="s">
        <v>158</v>
      </c>
      <c r="R335" s="3" t="s">
        <v>68</v>
      </c>
      <c r="S335" s="4">
        <v>2</v>
      </c>
      <c r="T335" s="4">
        <v>2</v>
      </c>
      <c r="U335" s="5" t="s">
        <v>4309</v>
      </c>
      <c r="V335" s="5" t="s">
        <v>4309</v>
      </c>
      <c r="W335" s="5" t="s">
        <v>4309</v>
      </c>
      <c r="X335" s="5" t="s">
        <v>4309</v>
      </c>
      <c r="Y335" s="4">
        <v>258</v>
      </c>
      <c r="Z335" s="4">
        <v>239</v>
      </c>
      <c r="AA335" s="4">
        <v>275</v>
      </c>
      <c r="AB335" s="4">
        <v>2</v>
      </c>
      <c r="AC335" s="4">
        <v>4</v>
      </c>
      <c r="AD335" s="4">
        <v>4</v>
      </c>
      <c r="AE335" s="4">
        <v>5</v>
      </c>
      <c r="AF335" s="4">
        <v>3</v>
      </c>
      <c r="AG335" s="4">
        <v>3</v>
      </c>
      <c r="AH335" s="4">
        <v>1</v>
      </c>
      <c r="AI335" s="4">
        <v>1</v>
      </c>
      <c r="AJ335" s="4">
        <v>0</v>
      </c>
      <c r="AK335" s="4">
        <v>0</v>
      </c>
      <c r="AL335" s="4">
        <v>0</v>
      </c>
      <c r="AM335" s="4">
        <v>1</v>
      </c>
      <c r="AN335" s="4">
        <v>0</v>
      </c>
      <c r="AO335" s="4">
        <v>0</v>
      </c>
      <c r="AP335" s="3" t="s">
        <v>58</v>
      </c>
      <c r="AQ335" s="3" t="s">
        <v>58</v>
      </c>
      <c r="AS335" s="6" t="str">
        <f>HYPERLINK("https://creighton-primo.hosted.exlibrisgroup.com/primo-explore/search?tab=default_tab&amp;search_scope=EVERYTHING&amp;vid=01CRU&amp;lang=en_US&amp;offset=0&amp;query=any,contains,991004295689702656","Catalog Record")</f>
        <v>Catalog Record</v>
      </c>
      <c r="AT335" s="6" t="str">
        <f>HYPERLINK("http://www.worldcat.org/oclc/21674588","WorldCat Record")</f>
        <v>WorldCat Record</v>
      </c>
      <c r="AU335" s="3" t="s">
        <v>4310</v>
      </c>
      <c r="AV335" s="3" t="s">
        <v>4311</v>
      </c>
      <c r="AW335" s="3" t="s">
        <v>4312</v>
      </c>
      <c r="AX335" s="3" t="s">
        <v>4312</v>
      </c>
      <c r="AY335" s="3" t="s">
        <v>4313</v>
      </c>
      <c r="AZ335" s="3" t="s">
        <v>75</v>
      </c>
      <c r="BB335" s="3" t="s">
        <v>4314</v>
      </c>
      <c r="BC335" s="3" t="s">
        <v>4315</v>
      </c>
      <c r="BD335" s="3" t="s">
        <v>4316</v>
      </c>
    </row>
    <row r="336" spans="1:56" ht="39" customHeight="1" x14ac:dyDescent="0.25">
      <c r="A336" s="7" t="s">
        <v>58</v>
      </c>
      <c r="B336" s="2" t="s">
        <v>4317</v>
      </c>
      <c r="C336" s="2" t="s">
        <v>4318</v>
      </c>
      <c r="D336" s="2" t="s">
        <v>4319</v>
      </c>
      <c r="F336" s="3" t="s">
        <v>58</v>
      </c>
      <c r="G336" s="3" t="s">
        <v>59</v>
      </c>
      <c r="H336" s="3" t="s">
        <v>58</v>
      </c>
      <c r="I336" s="3" t="s">
        <v>58</v>
      </c>
      <c r="J336" s="3" t="s">
        <v>60</v>
      </c>
      <c r="K336" s="2" t="s">
        <v>4320</v>
      </c>
      <c r="L336" s="2" t="s">
        <v>4321</v>
      </c>
      <c r="M336" s="3" t="s">
        <v>4322</v>
      </c>
      <c r="O336" s="3" t="s">
        <v>65</v>
      </c>
      <c r="P336" s="3" t="s">
        <v>186</v>
      </c>
      <c r="R336" s="3" t="s">
        <v>68</v>
      </c>
      <c r="S336" s="4">
        <v>2</v>
      </c>
      <c r="T336" s="4">
        <v>2</v>
      </c>
      <c r="U336" s="5" t="s">
        <v>4323</v>
      </c>
      <c r="V336" s="5" t="s">
        <v>4323</v>
      </c>
      <c r="W336" s="5" t="s">
        <v>4324</v>
      </c>
      <c r="X336" s="5" t="s">
        <v>4324</v>
      </c>
      <c r="Y336" s="4">
        <v>90</v>
      </c>
      <c r="Z336" s="4">
        <v>85</v>
      </c>
      <c r="AA336" s="4">
        <v>86</v>
      </c>
      <c r="AB336" s="4">
        <v>3</v>
      </c>
      <c r="AC336" s="4">
        <v>3</v>
      </c>
      <c r="AD336" s="4">
        <v>15</v>
      </c>
      <c r="AE336" s="4">
        <v>15</v>
      </c>
      <c r="AF336" s="4">
        <v>3</v>
      </c>
      <c r="AG336" s="4">
        <v>3</v>
      </c>
      <c r="AH336" s="4">
        <v>3</v>
      </c>
      <c r="AI336" s="4">
        <v>3</v>
      </c>
      <c r="AJ336" s="4">
        <v>12</v>
      </c>
      <c r="AK336" s="4">
        <v>12</v>
      </c>
      <c r="AL336" s="4">
        <v>0</v>
      </c>
      <c r="AM336" s="4">
        <v>0</v>
      </c>
      <c r="AN336" s="4">
        <v>0</v>
      </c>
      <c r="AO336" s="4">
        <v>0</v>
      </c>
      <c r="AP336" s="3" t="s">
        <v>58</v>
      </c>
      <c r="AQ336" s="3" t="s">
        <v>58</v>
      </c>
      <c r="AS336" s="6" t="str">
        <f>HYPERLINK("https://creighton-primo.hosted.exlibrisgroup.com/primo-explore/search?tab=default_tab&amp;search_scope=EVERYTHING&amp;vid=01CRU&amp;lang=en_US&amp;offset=0&amp;query=any,contains,991004347889702656","Catalog Record")</f>
        <v>Catalog Record</v>
      </c>
      <c r="AT336" s="6" t="str">
        <f>HYPERLINK("http://www.worldcat.org/oclc/3105047","WorldCat Record")</f>
        <v>WorldCat Record</v>
      </c>
      <c r="AU336" s="3" t="s">
        <v>4325</v>
      </c>
      <c r="AV336" s="3" t="s">
        <v>4326</v>
      </c>
      <c r="AW336" s="3" t="s">
        <v>4327</v>
      </c>
      <c r="AX336" s="3" t="s">
        <v>4327</v>
      </c>
      <c r="AY336" s="3" t="s">
        <v>4328</v>
      </c>
      <c r="AZ336" s="3" t="s">
        <v>75</v>
      </c>
      <c r="BC336" s="3" t="s">
        <v>4329</v>
      </c>
      <c r="BD336" s="3" t="s">
        <v>4330</v>
      </c>
    </row>
    <row r="337" spans="1:56" ht="39" customHeight="1" x14ac:dyDescent="0.25">
      <c r="A337" s="7" t="s">
        <v>58</v>
      </c>
      <c r="B337" s="2" t="s">
        <v>4331</v>
      </c>
      <c r="C337" s="2" t="s">
        <v>4332</v>
      </c>
      <c r="D337" s="2" t="s">
        <v>4333</v>
      </c>
      <c r="F337" s="3" t="s">
        <v>58</v>
      </c>
      <c r="G337" s="3" t="s">
        <v>59</v>
      </c>
      <c r="H337" s="3" t="s">
        <v>58</v>
      </c>
      <c r="I337" s="3" t="s">
        <v>58</v>
      </c>
      <c r="J337" s="3" t="s">
        <v>60</v>
      </c>
      <c r="K337" s="2" t="s">
        <v>4334</v>
      </c>
      <c r="M337" s="3" t="s">
        <v>215</v>
      </c>
      <c r="O337" s="3" t="s">
        <v>65</v>
      </c>
      <c r="P337" s="3" t="s">
        <v>492</v>
      </c>
      <c r="R337" s="3" t="s">
        <v>68</v>
      </c>
      <c r="S337" s="4">
        <v>6</v>
      </c>
      <c r="T337" s="4">
        <v>6</v>
      </c>
      <c r="U337" s="5" t="s">
        <v>3165</v>
      </c>
      <c r="V337" s="5" t="s">
        <v>3165</v>
      </c>
      <c r="W337" s="5" t="s">
        <v>4335</v>
      </c>
      <c r="X337" s="5" t="s">
        <v>4335</v>
      </c>
      <c r="Y337" s="4">
        <v>8</v>
      </c>
      <c r="Z337" s="4">
        <v>8</v>
      </c>
      <c r="AA337" s="4">
        <v>15</v>
      </c>
      <c r="AB337" s="4">
        <v>1</v>
      </c>
      <c r="AC337" s="4">
        <v>1</v>
      </c>
      <c r="AD337" s="4">
        <v>4</v>
      </c>
      <c r="AE337" s="4">
        <v>4</v>
      </c>
      <c r="AF337" s="4">
        <v>2</v>
      </c>
      <c r="AG337" s="4">
        <v>2</v>
      </c>
      <c r="AH337" s="4">
        <v>0</v>
      </c>
      <c r="AI337" s="4">
        <v>0</v>
      </c>
      <c r="AJ337" s="4">
        <v>4</v>
      </c>
      <c r="AK337" s="4">
        <v>4</v>
      </c>
      <c r="AL337" s="4">
        <v>0</v>
      </c>
      <c r="AM337" s="4">
        <v>0</v>
      </c>
      <c r="AN337" s="4">
        <v>0</v>
      </c>
      <c r="AO337" s="4">
        <v>0</v>
      </c>
      <c r="AP337" s="3" t="s">
        <v>58</v>
      </c>
      <c r="AQ337" s="3" t="s">
        <v>58</v>
      </c>
      <c r="AS337" s="6" t="str">
        <f>HYPERLINK("https://creighton-primo.hosted.exlibrisgroup.com/primo-explore/search?tab=default_tab&amp;search_scope=EVERYTHING&amp;vid=01CRU&amp;lang=en_US&amp;offset=0&amp;query=any,contains,991001438309702656","Catalog Record")</f>
        <v>Catalog Record</v>
      </c>
      <c r="AT337" s="6" t="str">
        <f>HYPERLINK("http://www.worldcat.org/oclc/19215244","WorldCat Record")</f>
        <v>WorldCat Record</v>
      </c>
      <c r="AU337" s="3" t="s">
        <v>4336</v>
      </c>
      <c r="AV337" s="3" t="s">
        <v>4337</v>
      </c>
      <c r="AW337" s="3" t="s">
        <v>4338</v>
      </c>
      <c r="AX337" s="3" t="s">
        <v>4338</v>
      </c>
      <c r="AY337" s="3" t="s">
        <v>4339</v>
      </c>
      <c r="AZ337" s="3" t="s">
        <v>75</v>
      </c>
      <c r="BC337" s="3" t="s">
        <v>4340</v>
      </c>
      <c r="BD337" s="3" t="s">
        <v>4341</v>
      </c>
    </row>
    <row r="338" spans="1:56" ht="39" customHeight="1" x14ac:dyDescent="0.25">
      <c r="A338" s="7" t="s">
        <v>58</v>
      </c>
      <c r="B338" s="2" t="s">
        <v>4342</v>
      </c>
      <c r="C338" s="2" t="s">
        <v>4343</v>
      </c>
      <c r="D338" s="2" t="s">
        <v>4344</v>
      </c>
      <c r="F338" s="3" t="s">
        <v>58</v>
      </c>
      <c r="G338" s="3" t="s">
        <v>59</v>
      </c>
      <c r="H338" s="3" t="s">
        <v>58</v>
      </c>
      <c r="I338" s="3" t="s">
        <v>58</v>
      </c>
      <c r="J338" s="3" t="s">
        <v>60</v>
      </c>
      <c r="K338" s="2" t="s">
        <v>4345</v>
      </c>
      <c r="L338" s="2" t="s">
        <v>4346</v>
      </c>
      <c r="M338" s="3" t="s">
        <v>98</v>
      </c>
      <c r="O338" s="3" t="s">
        <v>65</v>
      </c>
      <c r="P338" s="3" t="s">
        <v>245</v>
      </c>
      <c r="Q338" s="2" t="s">
        <v>4347</v>
      </c>
      <c r="R338" s="3" t="s">
        <v>68</v>
      </c>
      <c r="S338" s="4">
        <v>8</v>
      </c>
      <c r="T338" s="4">
        <v>8</v>
      </c>
      <c r="U338" s="5" t="s">
        <v>3842</v>
      </c>
      <c r="V338" s="5" t="s">
        <v>3842</v>
      </c>
      <c r="W338" s="5" t="s">
        <v>4348</v>
      </c>
      <c r="X338" s="5" t="s">
        <v>4348</v>
      </c>
      <c r="Y338" s="4">
        <v>711</v>
      </c>
      <c r="Z338" s="4">
        <v>615</v>
      </c>
      <c r="AA338" s="4">
        <v>651</v>
      </c>
      <c r="AB338" s="4">
        <v>7</v>
      </c>
      <c r="AC338" s="4">
        <v>8</v>
      </c>
      <c r="AD338" s="4">
        <v>22</v>
      </c>
      <c r="AE338" s="4">
        <v>26</v>
      </c>
      <c r="AF338" s="4">
        <v>8</v>
      </c>
      <c r="AG338" s="4">
        <v>9</v>
      </c>
      <c r="AH338" s="4">
        <v>2</v>
      </c>
      <c r="AI338" s="4">
        <v>3</v>
      </c>
      <c r="AJ338" s="4">
        <v>12</v>
      </c>
      <c r="AK338" s="4">
        <v>13</v>
      </c>
      <c r="AL338" s="4">
        <v>5</v>
      </c>
      <c r="AM338" s="4">
        <v>6</v>
      </c>
      <c r="AN338" s="4">
        <v>0</v>
      </c>
      <c r="AO338" s="4">
        <v>0</v>
      </c>
      <c r="AP338" s="3" t="s">
        <v>58</v>
      </c>
      <c r="AQ338" s="3" t="s">
        <v>58</v>
      </c>
      <c r="AS338" s="6" t="str">
        <f>HYPERLINK("https://creighton-primo.hosted.exlibrisgroup.com/primo-explore/search?tab=default_tab&amp;search_scope=EVERYTHING&amp;vid=01CRU&amp;lang=en_US&amp;offset=0&amp;query=any,contains,991001095069702656","Catalog Record")</f>
        <v>Catalog Record</v>
      </c>
      <c r="AT338" s="6" t="str">
        <f>HYPERLINK("http://www.worldcat.org/oclc/182750","WorldCat Record")</f>
        <v>WorldCat Record</v>
      </c>
      <c r="AU338" s="3" t="s">
        <v>4349</v>
      </c>
      <c r="AV338" s="3" t="s">
        <v>4350</v>
      </c>
      <c r="AW338" s="3" t="s">
        <v>4351</v>
      </c>
      <c r="AX338" s="3" t="s">
        <v>4351</v>
      </c>
      <c r="AY338" s="3" t="s">
        <v>4352</v>
      </c>
      <c r="AZ338" s="3" t="s">
        <v>75</v>
      </c>
      <c r="BC338" s="3" t="s">
        <v>4353</v>
      </c>
      <c r="BD338" s="3" t="s">
        <v>4354</v>
      </c>
    </row>
    <row r="339" spans="1:56" ht="39" customHeight="1" x14ac:dyDescent="0.25">
      <c r="A339" s="7" t="s">
        <v>58</v>
      </c>
      <c r="B339" s="2" t="s">
        <v>4355</v>
      </c>
      <c r="C339" s="2" t="s">
        <v>4356</v>
      </c>
      <c r="D339" s="2" t="s">
        <v>4357</v>
      </c>
      <c r="F339" s="3" t="s">
        <v>58</v>
      </c>
      <c r="G339" s="3" t="s">
        <v>59</v>
      </c>
      <c r="H339" s="3" t="s">
        <v>58</v>
      </c>
      <c r="I339" s="3" t="s">
        <v>58</v>
      </c>
      <c r="J339" s="3" t="s">
        <v>60</v>
      </c>
      <c r="K339" s="2" t="s">
        <v>4358</v>
      </c>
      <c r="L339" s="2" t="s">
        <v>4359</v>
      </c>
      <c r="M339" s="3" t="s">
        <v>759</v>
      </c>
      <c r="O339" s="3" t="s">
        <v>65</v>
      </c>
      <c r="P339" s="3" t="s">
        <v>186</v>
      </c>
      <c r="R339" s="3" t="s">
        <v>68</v>
      </c>
      <c r="S339" s="4">
        <v>4</v>
      </c>
      <c r="T339" s="4">
        <v>4</v>
      </c>
      <c r="U339" s="5" t="s">
        <v>4360</v>
      </c>
      <c r="V339" s="5" t="s">
        <v>4360</v>
      </c>
      <c r="W339" s="5" t="s">
        <v>4361</v>
      </c>
      <c r="X339" s="5" t="s">
        <v>4361</v>
      </c>
      <c r="Y339" s="4">
        <v>308</v>
      </c>
      <c r="Z339" s="4">
        <v>249</v>
      </c>
      <c r="AA339" s="4">
        <v>283</v>
      </c>
      <c r="AB339" s="4">
        <v>1</v>
      </c>
      <c r="AC339" s="4">
        <v>1</v>
      </c>
      <c r="AD339" s="4">
        <v>20</v>
      </c>
      <c r="AE339" s="4">
        <v>23</v>
      </c>
      <c r="AF339" s="4">
        <v>7</v>
      </c>
      <c r="AG339" s="4">
        <v>9</v>
      </c>
      <c r="AH339" s="4">
        <v>6</v>
      </c>
      <c r="AI339" s="4">
        <v>6</v>
      </c>
      <c r="AJ339" s="4">
        <v>13</v>
      </c>
      <c r="AK339" s="4">
        <v>14</v>
      </c>
      <c r="AL339" s="4">
        <v>0</v>
      </c>
      <c r="AM339" s="4">
        <v>0</v>
      </c>
      <c r="AN339" s="4">
        <v>0</v>
      </c>
      <c r="AO339" s="4">
        <v>0</v>
      </c>
      <c r="AP339" s="3" t="s">
        <v>58</v>
      </c>
      <c r="AQ339" s="3" t="s">
        <v>58</v>
      </c>
      <c r="AS339" s="6" t="str">
        <f>HYPERLINK("https://creighton-primo.hosted.exlibrisgroup.com/primo-explore/search?tab=default_tab&amp;search_scope=EVERYTHING&amp;vid=01CRU&amp;lang=en_US&amp;offset=0&amp;query=any,contains,991001181349702656","Catalog Record")</f>
        <v>Catalog Record</v>
      </c>
      <c r="AT339" s="6" t="str">
        <f>HYPERLINK("http://www.worldcat.org/oclc/17108585","WorldCat Record")</f>
        <v>WorldCat Record</v>
      </c>
      <c r="AU339" s="3" t="s">
        <v>4362</v>
      </c>
      <c r="AV339" s="3" t="s">
        <v>4363</v>
      </c>
      <c r="AW339" s="3" t="s">
        <v>4364</v>
      </c>
      <c r="AX339" s="3" t="s">
        <v>4364</v>
      </c>
      <c r="AY339" s="3" t="s">
        <v>4365</v>
      </c>
      <c r="AZ339" s="3" t="s">
        <v>75</v>
      </c>
      <c r="BB339" s="3" t="s">
        <v>4366</v>
      </c>
      <c r="BC339" s="3" t="s">
        <v>4367</v>
      </c>
      <c r="BD339" s="3" t="s">
        <v>4368</v>
      </c>
    </row>
    <row r="340" spans="1:56" ht="39" customHeight="1" x14ac:dyDescent="0.25">
      <c r="A340" s="7" t="s">
        <v>58</v>
      </c>
      <c r="B340" s="2" t="s">
        <v>4369</v>
      </c>
      <c r="C340" s="2" t="s">
        <v>4370</v>
      </c>
      <c r="D340" s="2" t="s">
        <v>4371</v>
      </c>
      <c r="F340" s="3" t="s">
        <v>58</v>
      </c>
      <c r="G340" s="3" t="s">
        <v>59</v>
      </c>
      <c r="H340" s="3" t="s">
        <v>58</v>
      </c>
      <c r="I340" s="3" t="s">
        <v>58</v>
      </c>
      <c r="J340" s="3" t="s">
        <v>60</v>
      </c>
      <c r="K340" s="2" t="s">
        <v>4372</v>
      </c>
      <c r="L340" s="2" t="s">
        <v>4373</v>
      </c>
      <c r="M340" s="3" t="s">
        <v>3656</v>
      </c>
      <c r="O340" s="3" t="s">
        <v>65</v>
      </c>
      <c r="P340" s="3" t="s">
        <v>1345</v>
      </c>
      <c r="R340" s="3" t="s">
        <v>68</v>
      </c>
      <c r="S340" s="4">
        <v>5</v>
      </c>
      <c r="T340" s="4">
        <v>5</v>
      </c>
      <c r="U340" s="5" t="s">
        <v>4374</v>
      </c>
      <c r="V340" s="5" t="s">
        <v>4374</v>
      </c>
      <c r="W340" s="5" t="s">
        <v>4375</v>
      </c>
      <c r="X340" s="5" t="s">
        <v>4375</v>
      </c>
      <c r="Y340" s="4">
        <v>24</v>
      </c>
      <c r="Z340" s="4">
        <v>21</v>
      </c>
      <c r="AA340" s="4">
        <v>21</v>
      </c>
      <c r="AB340" s="4">
        <v>1</v>
      </c>
      <c r="AC340" s="4">
        <v>1</v>
      </c>
      <c r="AD340" s="4">
        <v>13</v>
      </c>
      <c r="AE340" s="4">
        <v>13</v>
      </c>
      <c r="AF340" s="4">
        <v>3</v>
      </c>
      <c r="AG340" s="4">
        <v>3</v>
      </c>
      <c r="AH340" s="4">
        <v>3</v>
      </c>
      <c r="AI340" s="4">
        <v>3</v>
      </c>
      <c r="AJ340" s="4">
        <v>12</v>
      </c>
      <c r="AK340" s="4">
        <v>12</v>
      </c>
      <c r="AL340" s="4">
        <v>0</v>
      </c>
      <c r="AM340" s="4">
        <v>0</v>
      </c>
      <c r="AN340" s="4">
        <v>0</v>
      </c>
      <c r="AO340" s="4">
        <v>0</v>
      </c>
      <c r="AP340" s="3" t="s">
        <v>58</v>
      </c>
      <c r="AQ340" s="3" t="s">
        <v>58</v>
      </c>
      <c r="AS340" s="6" t="str">
        <f>HYPERLINK("https://creighton-primo.hosted.exlibrisgroup.com/primo-explore/search?tab=default_tab&amp;search_scope=EVERYTHING&amp;vid=01CRU&amp;lang=en_US&amp;offset=0&amp;query=any,contains,991002821369702656","Catalog Record")</f>
        <v>Catalog Record</v>
      </c>
      <c r="AT340" s="6" t="str">
        <f>HYPERLINK("http://www.worldcat.org/oclc/37130090","WorldCat Record")</f>
        <v>WorldCat Record</v>
      </c>
      <c r="AU340" s="3" t="s">
        <v>4376</v>
      </c>
      <c r="AV340" s="3" t="s">
        <v>4377</v>
      </c>
      <c r="AW340" s="3" t="s">
        <v>4378</v>
      </c>
      <c r="AX340" s="3" t="s">
        <v>4378</v>
      </c>
      <c r="AY340" s="3" t="s">
        <v>4379</v>
      </c>
      <c r="AZ340" s="3" t="s">
        <v>75</v>
      </c>
      <c r="BC340" s="3" t="s">
        <v>4380</v>
      </c>
      <c r="BD340" s="3" t="s">
        <v>4381</v>
      </c>
    </row>
    <row r="341" spans="1:56" ht="39" customHeight="1" x14ac:dyDescent="0.25">
      <c r="A341" s="7" t="s">
        <v>58</v>
      </c>
      <c r="B341" s="2" t="s">
        <v>4382</v>
      </c>
      <c r="C341" s="2" t="s">
        <v>4383</v>
      </c>
      <c r="D341" s="2" t="s">
        <v>4384</v>
      </c>
      <c r="F341" s="3" t="s">
        <v>58</v>
      </c>
      <c r="G341" s="3" t="s">
        <v>59</v>
      </c>
      <c r="H341" s="3" t="s">
        <v>58</v>
      </c>
      <c r="I341" s="3" t="s">
        <v>58</v>
      </c>
      <c r="J341" s="3" t="s">
        <v>60</v>
      </c>
      <c r="K341" s="2" t="s">
        <v>4385</v>
      </c>
      <c r="L341" s="2" t="s">
        <v>4386</v>
      </c>
      <c r="M341" s="3" t="s">
        <v>3356</v>
      </c>
      <c r="O341" s="3" t="s">
        <v>65</v>
      </c>
      <c r="P341" s="3" t="s">
        <v>66</v>
      </c>
      <c r="R341" s="3" t="s">
        <v>68</v>
      </c>
      <c r="S341" s="4">
        <v>5</v>
      </c>
      <c r="T341" s="4">
        <v>5</v>
      </c>
      <c r="U341" s="5" t="s">
        <v>4387</v>
      </c>
      <c r="V341" s="5" t="s">
        <v>4387</v>
      </c>
      <c r="W341" s="5" t="s">
        <v>4324</v>
      </c>
      <c r="X341" s="5" t="s">
        <v>4324</v>
      </c>
      <c r="Y341" s="4">
        <v>84</v>
      </c>
      <c r="Z341" s="4">
        <v>60</v>
      </c>
      <c r="AA341" s="4">
        <v>61</v>
      </c>
      <c r="AB341" s="4">
        <v>1</v>
      </c>
      <c r="AC341" s="4">
        <v>1</v>
      </c>
      <c r="AD341" s="4">
        <v>2</v>
      </c>
      <c r="AE341" s="4">
        <v>2</v>
      </c>
      <c r="AF341" s="4">
        <v>1</v>
      </c>
      <c r="AG341" s="4">
        <v>1</v>
      </c>
      <c r="AH341" s="4">
        <v>0</v>
      </c>
      <c r="AI341" s="4">
        <v>0</v>
      </c>
      <c r="AJ341" s="4">
        <v>1</v>
      </c>
      <c r="AK341" s="4">
        <v>1</v>
      </c>
      <c r="AL341" s="4">
        <v>0</v>
      </c>
      <c r="AM341" s="4">
        <v>0</v>
      </c>
      <c r="AN341" s="4">
        <v>0</v>
      </c>
      <c r="AO341" s="4">
        <v>0</v>
      </c>
      <c r="AP341" s="3" t="s">
        <v>58</v>
      </c>
      <c r="AQ341" s="3" t="s">
        <v>132</v>
      </c>
      <c r="AR341" s="6" t="str">
        <f>HYPERLINK("http://catalog.hathitrust.org/Record/001414136","HathiTrust Record")</f>
        <v>HathiTrust Record</v>
      </c>
      <c r="AS341" s="6" t="str">
        <f>HYPERLINK("https://creighton-primo.hosted.exlibrisgroup.com/primo-explore/search?tab=default_tab&amp;search_scope=EVERYTHING&amp;vid=01CRU&amp;lang=en_US&amp;offset=0&amp;query=any,contains,991004203489702656","Catalog Record")</f>
        <v>Catalog Record</v>
      </c>
      <c r="AT341" s="6" t="str">
        <f>HYPERLINK("http://www.worldcat.org/oclc/2657698","WorldCat Record")</f>
        <v>WorldCat Record</v>
      </c>
      <c r="AU341" s="3" t="s">
        <v>4388</v>
      </c>
      <c r="AV341" s="3" t="s">
        <v>4389</v>
      </c>
      <c r="AW341" s="3" t="s">
        <v>4390</v>
      </c>
      <c r="AX341" s="3" t="s">
        <v>4390</v>
      </c>
      <c r="AY341" s="3" t="s">
        <v>4391</v>
      </c>
      <c r="AZ341" s="3" t="s">
        <v>75</v>
      </c>
      <c r="BC341" s="3" t="s">
        <v>4392</v>
      </c>
      <c r="BD341" s="3" t="s">
        <v>4393</v>
      </c>
    </row>
    <row r="342" spans="1:56" ht="39" customHeight="1" x14ac:dyDescent="0.25">
      <c r="A342" s="7" t="s">
        <v>58</v>
      </c>
      <c r="B342" s="2" t="s">
        <v>4394</v>
      </c>
      <c r="C342" s="2" t="s">
        <v>4395</v>
      </c>
      <c r="D342" s="2" t="s">
        <v>4396</v>
      </c>
      <c r="F342" s="3" t="s">
        <v>58</v>
      </c>
      <c r="G342" s="3" t="s">
        <v>59</v>
      </c>
      <c r="H342" s="3" t="s">
        <v>58</v>
      </c>
      <c r="I342" s="3" t="s">
        <v>58</v>
      </c>
      <c r="J342" s="3" t="s">
        <v>60</v>
      </c>
      <c r="L342" s="2" t="s">
        <v>4397</v>
      </c>
      <c r="M342" s="3" t="s">
        <v>462</v>
      </c>
      <c r="O342" s="3" t="s">
        <v>65</v>
      </c>
      <c r="P342" s="3" t="s">
        <v>84</v>
      </c>
      <c r="Q342" s="2" t="s">
        <v>4398</v>
      </c>
      <c r="R342" s="3" t="s">
        <v>68</v>
      </c>
      <c r="S342" s="4">
        <v>2</v>
      </c>
      <c r="T342" s="4">
        <v>2</v>
      </c>
      <c r="U342" s="5" t="s">
        <v>4399</v>
      </c>
      <c r="V342" s="5" t="s">
        <v>4399</v>
      </c>
      <c r="W342" s="5" t="s">
        <v>4324</v>
      </c>
      <c r="X342" s="5" t="s">
        <v>4324</v>
      </c>
      <c r="Y342" s="4">
        <v>165</v>
      </c>
      <c r="Z342" s="4">
        <v>139</v>
      </c>
      <c r="AA342" s="4">
        <v>140</v>
      </c>
      <c r="AB342" s="4">
        <v>1</v>
      </c>
      <c r="AC342" s="4">
        <v>1</v>
      </c>
      <c r="AD342" s="4">
        <v>5</v>
      </c>
      <c r="AE342" s="4">
        <v>5</v>
      </c>
      <c r="AF342" s="4">
        <v>1</v>
      </c>
      <c r="AG342" s="4">
        <v>1</v>
      </c>
      <c r="AH342" s="4">
        <v>3</v>
      </c>
      <c r="AI342" s="4">
        <v>3</v>
      </c>
      <c r="AJ342" s="4">
        <v>3</v>
      </c>
      <c r="AK342" s="4">
        <v>3</v>
      </c>
      <c r="AL342" s="4">
        <v>0</v>
      </c>
      <c r="AM342" s="4">
        <v>0</v>
      </c>
      <c r="AN342" s="4">
        <v>0</v>
      </c>
      <c r="AO342" s="4">
        <v>0</v>
      </c>
      <c r="AP342" s="3" t="s">
        <v>58</v>
      </c>
      <c r="AQ342" s="3" t="s">
        <v>132</v>
      </c>
      <c r="AR342" s="6" t="str">
        <f>HYPERLINK("http://catalog.hathitrust.org/Record/000121062","HathiTrust Record")</f>
        <v>HathiTrust Record</v>
      </c>
      <c r="AS342" s="6" t="str">
        <f>HYPERLINK("https://creighton-primo.hosted.exlibrisgroup.com/primo-explore/search?tab=default_tab&amp;search_scope=EVERYTHING&amp;vid=01CRU&amp;lang=en_US&amp;offset=0&amp;query=any,contains,991000378729702656","Catalog Record")</f>
        <v>Catalog Record</v>
      </c>
      <c r="AT342" s="6" t="str">
        <f>HYPERLINK("http://www.worldcat.org/oclc/10483466","WorldCat Record")</f>
        <v>WorldCat Record</v>
      </c>
      <c r="AU342" s="3" t="s">
        <v>4400</v>
      </c>
      <c r="AV342" s="3" t="s">
        <v>4401</v>
      </c>
      <c r="AW342" s="3" t="s">
        <v>4402</v>
      </c>
      <c r="AX342" s="3" t="s">
        <v>4402</v>
      </c>
      <c r="AY342" s="3" t="s">
        <v>4403</v>
      </c>
      <c r="AZ342" s="3" t="s">
        <v>75</v>
      </c>
      <c r="BB342" s="3" t="s">
        <v>4404</v>
      </c>
      <c r="BC342" s="3" t="s">
        <v>4405</v>
      </c>
      <c r="BD342" s="3" t="s">
        <v>4406</v>
      </c>
    </row>
    <row r="343" spans="1:56" ht="39" customHeight="1" x14ac:dyDescent="0.25">
      <c r="A343" s="7" t="s">
        <v>58</v>
      </c>
      <c r="B343" s="2" t="s">
        <v>4407</v>
      </c>
      <c r="C343" s="2" t="s">
        <v>4408</v>
      </c>
      <c r="D343" s="2" t="s">
        <v>4409</v>
      </c>
      <c r="F343" s="3" t="s">
        <v>58</v>
      </c>
      <c r="G343" s="3" t="s">
        <v>59</v>
      </c>
      <c r="H343" s="3" t="s">
        <v>58</v>
      </c>
      <c r="I343" s="3" t="s">
        <v>58</v>
      </c>
      <c r="J343" s="3" t="s">
        <v>60</v>
      </c>
      <c r="K343" s="2" t="s">
        <v>4410</v>
      </c>
      <c r="L343" s="2" t="s">
        <v>4411</v>
      </c>
      <c r="M343" s="3" t="s">
        <v>2418</v>
      </c>
      <c r="O343" s="3" t="s">
        <v>65</v>
      </c>
      <c r="P343" s="3" t="s">
        <v>2303</v>
      </c>
      <c r="R343" s="3" t="s">
        <v>68</v>
      </c>
      <c r="S343" s="4">
        <v>2</v>
      </c>
      <c r="T343" s="4">
        <v>2</v>
      </c>
      <c r="U343" s="5" t="s">
        <v>1492</v>
      </c>
      <c r="V343" s="5" t="s">
        <v>1492</v>
      </c>
      <c r="W343" s="5" t="s">
        <v>4412</v>
      </c>
      <c r="X343" s="5" t="s">
        <v>4412</v>
      </c>
      <c r="Y343" s="4">
        <v>128</v>
      </c>
      <c r="Z343" s="4">
        <v>105</v>
      </c>
      <c r="AA343" s="4">
        <v>117</v>
      </c>
      <c r="AB343" s="4">
        <v>1</v>
      </c>
      <c r="AC343" s="4">
        <v>1</v>
      </c>
      <c r="AD343" s="4">
        <v>5</v>
      </c>
      <c r="AE343" s="4">
        <v>5</v>
      </c>
      <c r="AF343" s="4">
        <v>0</v>
      </c>
      <c r="AG343" s="4">
        <v>0</v>
      </c>
      <c r="AH343" s="4">
        <v>3</v>
      </c>
      <c r="AI343" s="4">
        <v>3</v>
      </c>
      <c r="AJ343" s="4">
        <v>3</v>
      </c>
      <c r="AK343" s="4">
        <v>3</v>
      </c>
      <c r="AL343" s="4">
        <v>0</v>
      </c>
      <c r="AM343" s="4">
        <v>0</v>
      </c>
      <c r="AN343" s="4">
        <v>0</v>
      </c>
      <c r="AO343" s="4">
        <v>0</v>
      </c>
      <c r="AP343" s="3" t="s">
        <v>58</v>
      </c>
      <c r="AQ343" s="3" t="s">
        <v>132</v>
      </c>
      <c r="AR343" s="6" t="str">
        <f>HYPERLINK("http://catalog.hathitrust.org/Record/000016680","HathiTrust Record")</f>
        <v>HathiTrust Record</v>
      </c>
      <c r="AS343" s="6" t="str">
        <f>HYPERLINK("https://creighton-primo.hosted.exlibrisgroup.com/primo-explore/search?tab=default_tab&amp;search_scope=EVERYTHING&amp;vid=01CRU&amp;lang=en_US&amp;offset=0&amp;query=any,contains,991003470759702656","Catalog Record")</f>
        <v>Catalog Record</v>
      </c>
      <c r="AT343" s="6" t="str">
        <f>HYPERLINK("http://www.worldcat.org/oclc/1013139","WorldCat Record")</f>
        <v>WorldCat Record</v>
      </c>
      <c r="AU343" s="3" t="s">
        <v>4413</v>
      </c>
      <c r="AV343" s="3" t="s">
        <v>4414</v>
      </c>
      <c r="AW343" s="3" t="s">
        <v>4415</v>
      </c>
      <c r="AX343" s="3" t="s">
        <v>4415</v>
      </c>
      <c r="AY343" s="3" t="s">
        <v>4416</v>
      </c>
      <c r="AZ343" s="3" t="s">
        <v>75</v>
      </c>
      <c r="BB343" s="3" t="s">
        <v>4417</v>
      </c>
      <c r="BC343" s="3" t="s">
        <v>4418</v>
      </c>
      <c r="BD343" s="3" t="s">
        <v>4419</v>
      </c>
    </row>
    <row r="344" spans="1:56" ht="39" customHeight="1" x14ac:dyDescent="0.25">
      <c r="A344" s="7" t="s">
        <v>58</v>
      </c>
      <c r="B344" s="2" t="s">
        <v>4420</v>
      </c>
      <c r="C344" s="2" t="s">
        <v>4421</v>
      </c>
      <c r="D344" s="2" t="s">
        <v>4422</v>
      </c>
      <c r="F344" s="3" t="s">
        <v>58</v>
      </c>
      <c r="G344" s="3" t="s">
        <v>59</v>
      </c>
      <c r="H344" s="3" t="s">
        <v>58</v>
      </c>
      <c r="I344" s="3" t="s">
        <v>58</v>
      </c>
      <c r="J344" s="3" t="s">
        <v>60</v>
      </c>
      <c r="K344" s="2" t="s">
        <v>4423</v>
      </c>
      <c r="L344" s="2" t="s">
        <v>4424</v>
      </c>
      <c r="M344" s="3" t="s">
        <v>439</v>
      </c>
      <c r="O344" s="3" t="s">
        <v>65</v>
      </c>
      <c r="P344" s="3" t="s">
        <v>4425</v>
      </c>
      <c r="R344" s="3" t="s">
        <v>68</v>
      </c>
      <c r="S344" s="4">
        <v>5</v>
      </c>
      <c r="T344" s="4">
        <v>5</v>
      </c>
      <c r="U344" s="5" t="s">
        <v>4426</v>
      </c>
      <c r="V344" s="5" t="s">
        <v>4426</v>
      </c>
      <c r="W344" s="5" t="s">
        <v>4412</v>
      </c>
      <c r="X344" s="5" t="s">
        <v>4412</v>
      </c>
      <c r="Y344" s="4">
        <v>364</v>
      </c>
      <c r="Z344" s="4">
        <v>246</v>
      </c>
      <c r="AA344" s="4">
        <v>252</v>
      </c>
      <c r="AB344" s="4">
        <v>2</v>
      </c>
      <c r="AC344" s="4">
        <v>2</v>
      </c>
      <c r="AD344" s="4">
        <v>7</v>
      </c>
      <c r="AE344" s="4">
        <v>7</v>
      </c>
      <c r="AF344" s="4">
        <v>1</v>
      </c>
      <c r="AG344" s="4">
        <v>1</v>
      </c>
      <c r="AH344" s="4">
        <v>3</v>
      </c>
      <c r="AI344" s="4">
        <v>3</v>
      </c>
      <c r="AJ344" s="4">
        <v>5</v>
      </c>
      <c r="AK344" s="4">
        <v>5</v>
      </c>
      <c r="AL344" s="4">
        <v>1</v>
      </c>
      <c r="AM344" s="4">
        <v>1</v>
      </c>
      <c r="AN344" s="4">
        <v>0</v>
      </c>
      <c r="AO344" s="4">
        <v>0</v>
      </c>
      <c r="AP344" s="3" t="s">
        <v>58</v>
      </c>
      <c r="AQ344" s="3" t="s">
        <v>132</v>
      </c>
      <c r="AR344" s="6" t="str">
        <f>HYPERLINK("http://catalog.hathitrust.org/Record/000733602","HathiTrust Record")</f>
        <v>HathiTrust Record</v>
      </c>
      <c r="AS344" s="6" t="str">
        <f>HYPERLINK("https://creighton-primo.hosted.exlibrisgroup.com/primo-explore/search?tab=default_tab&amp;search_scope=EVERYTHING&amp;vid=01CRU&amp;lang=en_US&amp;offset=0&amp;query=any,contains,991005095179702656","Catalog Record")</f>
        <v>Catalog Record</v>
      </c>
      <c r="AT344" s="6" t="str">
        <f>HYPERLINK("http://www.worldcat.org/oclc/7272291","WorldCat Record")</f>
        <v>WorldCat Record</v>
      </c>
      <c r="AU344" s="3" t="s">
        <v>4427</v>
      </c>
      <c r="AV344" s="3" t="s">
        <v>4428</v>
      </c>
      <c r="AW344" s="3" t="s">
        <v>4429</v>
      </c>
      <c r="AX344" s="3" t="s">
        <v>4429</v>
      </c>
      <c r="AY344" s="3" t="s">
        <v>4430</v>
      </c>
      <c r="AZ344" s="3" t="s">
        <v>75</v>
      </c>
      <c r="BB344" s="3" t="s">
        <v>4431</v>
      </c>
      <c r="BC344" s="3" t="s">
        <v>4432</v>
      </c>
      <c r="BD344" s="3" t="s">
        <v>4433</v>
      </c>
    </row>
    <row r="345" spans="1:56" ht="39" customHeight="1" x14ac:dyDescent="0.25">
      <c r="A345" s="7" t="s">
        <v>58</v>
      </c>
      <c r="B345" s="2" t="s">
        <v>4434</v>
      </c>
      <c r="C345" s="2" t="s">
        <v>4435</v>
      </c>
      <c r="D345" s="2" t="s">
        <v>4436</v>
      </c>
      <c r="F345" s="3" t="s">
        <v>58</v>
      </c>
      <c r="G345" s="3" t="s">
        <v>59</v>
      </c>
      <c r="H345" s="3" t="s">
        <v>58</v>
      </c>
      <c r="I345" s="3" t="s">
        <v>58</v>
      </c>
      <c r="J345" s="3" t="s">
        <v>60</v>
      </c>
      <c r="K345" s="2" t="s">
        <v>4437</v>
      </c>
      <c r="L345" s="2" t="s">
        <v>4438</v>
      </c>
      <c r="M345" s="3" t="s">
        <v>655</v>
      </c>
      <c r="O345" s="3" t="s">
        <v>65</v>
      </c>
      <c r="P345" s="3" t="s">
        <v>186</v>
      </c>
      <c r="Q345" s="2" t="s">
        <v>4439</v>
      </c>
      <c r="R345" s="3" t="s">
        <v>68</v>
      </c>
      <c r="S345" s="4">
        <v>1</v>
      </c>
      <c r="T345" s="4">
        <v>1</v>
      </c>
      <c r="U345" s="5" t="s">
        <v>4440</v>
      </c>
      <c r="V345" s="5" t="s">
        <v>4440</v>
      </c>
      <c r="W345" s="5" t="s">
        <v>4412</v>
      </c>
      <c r="X345" s="5" t="s">
        <v>4412</v>
      </c>
      <c r="Y345" s="4">
        <v>12</v>
      </c>
      <c r="Z345" s="4">
        <v>9</v>
      </c>
      <c r="AA345" s="4">
        <v>217</v>
      </c>
      <c r="AB345" s="4">
        <v>1</v>
      </c>
      <c r="AC345" s="4">
        <v>7</v>
      </c>
      <c r="AD345" s="4">
        <v>1</v>
      </c>
      <c r="AE345" s="4">
        <v>19</v>
      </c>
      <c r="AF345" s="4">
        <v>0</v>
      </c>
      <c r="AG345" s="4">
        <v>4</v>
      </c>
      <c r="AH345" s="4">
        <v>0</v>
      </c>
      <c r="AI345" s="4">
        <v>6</v>
      </c>
      <c r="AJ345" s="4">
        <v>1</v>
      </c>
      <c r="AK345" s="4">
        <v>13</v>
      </c>
      <c r="AL345" s="4">
        <v>0</v>
      </c>
      <c r="AM345" s="4">
        <v>1</v>
      </c>
      <c r="AN345" s="4">
        <v>0</v>
      </c>
      <c r="AO345" s="4">
        <v>0</v>
      </c>
      <c r="AP345" s="3" t="s">
        <v>58</v>
      </c>
      <c r="AQ345" s="3" t="s">
        <v>58</v>
      </c>
      <c r="AS345" s="6" t="str">
        <f>HYPERLINK("https://creighton-primo.hosted.exlibrisgroup.com/primo-explore/search?tab=default_tab&amp;search_scope=EVERYTHING&amp;vid=01CRU&amp;lang=en_US&amp;offset=0&amp;query=any,contains,991004880579702656","Catalog Record")</f>
        <v>Catalog Record</v>
      </c>
      <c r="AT345" s="6" t="str">
        <f>HYPERLINK("http://www.worldcat.org/oclc/5815601","WorldCat Record")</f>
        <v>WorldCat Record</v>
      </c>
      <c r="AU345" s="3" t="s">
        <v>4441</v>
      </c>
      <c r="AV345" s="3" t="s">
        <v>4442</v>
      </c>
      <c r="AW345" s="3" t="s">
        <v>4443</v>
      </c>
      <c r="AX345" s="3" t="s">
        <v>4443</v>
      </c>
      <c r="AY345" s="3" t="s">
        <v>4444</v>
      </c>
      <c r="AZ345" s="3" t="s">
        <v>75</v>
      </c>
      <c r="BB345" s="3" t="s">
        <v>4445</v>
      </c>
      <c r="BC345" s="3" t="s">
        <v>4446</v>
      </c>
      <c r="BD345" s="3" t="s">
        <v>4447</v>
      </c>
    </row>
    <row r="346" spans="1:56" ht="39" customHeight="1" x14ac:dyDescent="0.25">
      <c r="A346" s="7" t="s">
        <v>58</v>
      </c>
      <c r="B346" s="2" t="s">
        <v>4448</v>
      </c>
      <c r="C346" s="2" t="s">
        <v>4449</v>
      </c>
      <c r="D346" s="2" t="s">
        <v>4450</v>
      </c>
      <c r="F346" s="3" t="s">
        <v>58</v>
      </c>
      <c r="G346" s="3" t="s">
        <v>59</v>
      </c>
      <c r="H346" s="3" t="s">
        <v>58</v>
      </c>
      <c r="I346" s="3" t="s">
        <v>58</v>
      </c>
      <c r="J346" s="3" t="s">
        <v>60</v>
      </c>
      <c r="K346" s="2" t="s">
        <v>4451</v>
      </c>
      <c r="L346" s="2" t="s">
        <v>4452</v>
      </c>
      <c r="M346" s="3" t="s">
        <v>781</v>
      </c>
      <c r="O346" s="3" t="s">
        <v>65</v>
      </c>
      <c r="P346" s="3" t="s">
        <v>186</v>
      </c>
      <c r="R346" s="3" t="s">
        <v>68</v>
      </c>
      <c r="S346" s="4">
        <v>3</v>
      </c>
      <c r="T346" s="4">
        <v>3</v>
      </c>
      <c r="U346" s="5" t="s">
        <v>4453</v>
      </c>
      <c r="V346" s="5" t="s">
        <v>4453</v>
      </c>
      <c r="W346" s="5" t="s">
        <v>4412</v>
      </c>
      <c r="X346" s="5" t="s">
        <v>4412</v>
      </c>
      <c r="Y346" s="4">
        <v>182</v>
      </c>
      <c r="Z346" s="4">
        <v>181</v>
      </c>
      <c r="AA346" s="4">
        <v>184</v>
      </c>
      <c r="AB346" s="4">
        <v>4</v>
      </c>
      <c r="AC346" s="4">
        <v>4</v>
      </c>
      <c r="AD346" s="4">
        <v>10</v>
      </c>
      <c r="AE346" s="4">
        <v>10</v>
      </c>
      <c r="AF346" s="4">
        <v>2</v>
      </c>
      <c r="AG346" s="4">
        <v>2</v>
      </c>
      <c r="AH346" s="4">
        <v>2</v>
      </c>
      <c r="AI346" s="4">
        <v>2</v>
      </c>
      <c r="AJ346" s="4">
        <v>4</v>
      </c>
      <c r="AK346" s="4">
        <v>4</v>
      </c>
      <c r="AL346" s="4">
        <v>3</v>
      </c>
      <c r="AM346" s="4">
        <v>3</v>
      </c>
      <c r="AN346" s="4">
        <v>0</v>
      </c>
      <c r="AO346" s="4">
        <v>0</v>
      </c>
      <c r="AP346" s="3" t="s">
        <v>58</v>
      </c>
      <c r="AQ346" s="3" t="s">
        <v>132</v>
      </c>
      <c r="AR346" s="6" t="str">
        <f>HYPERLINK("http://catalog.hathitrust.org/Record/000397065","HathiTrust Record")</f>
        <v>HathiTrust Record</v>
      </c>
      <c r="AS346" s="6" t="str">
        <f>HYPERLINK("https://creighton-primo.hosted.exlibrisgroup.com/primo-explore/search?tab=default_tab&amp;search_scope=EVERYTHING&amp;vid=01CRU&amp;lang=en_US&amp;offset=0&amp;query=any,contains,991000891179702656","Catalog Record")</f>
        <v>Catalog Record</v>
      </c>
      <c r="AT346" s="6" t="str">
        <f>HYPERLINK("http://www.worldcat.org/oclc/13914576","WorldCat Record")</f>
        <v>WorldCat Record</v>
      </c>
      <c r="AU346" s="3" t="s">
        <v>4454</v>
      </c>
      <c r="AV346" s="3" t="s">
        <v>4455</v>
      </c>
      <c r="AW346" s="3" t="s">
        <v>4456</v>
      </c>
      <c r="AX346" s="3" t="s">
        <v>4456</v>
      </c>
      <c r="AY346" s="3" t="s">
        <v>4457</v>
      </c>
      <c r="AZ346" s="3" t="s">
        <v>75</v>
      </c>
      <c r="BB346" s="3" t="s">
        <v>4458</v>
      </c>
      <c r="BC346" s="3" t="s">
        <v>4459</v>
      </c>
      <c r="BD346" s="3" t="s">
        <v>4460</v>
      </c>
    </row>
    <row r="347" spans="1:56" ht="39" customHeight="1" x14ac:dyDescent="0.25">
      <c r="A347" s="7" t="s">
        <v>58</v>
      </c>
      <c r="B347" s="2" t="s">
        <v>4461</v>
      </c>
      <c r="C347" s="2" t="s">
        <v>4462</v>
      </c>
      <c r="D347" s="2" t="s">
        <v>4463</v>
      </c>
      <c r="F347" s="3" t="s">
        <v>58</v>
      </c>
      <c r="G347" s="3" t="s">
        <v>59</v>
      </c>
      <c r="H347" s="3" t="s">
        <v>58</v>
      </c>
      <c r="I347" s="3" t="s">
        <v>58</v>
      </c>
      <c r="J347" s="3" t="s">
        <v>60</v>
      </c>
      <c r="K347" s="2" t="s">
        <v>4464</v>
      </c>
      <c r="L347" s="2" t="s">
        <v>4465</v>
      </c>
      <c r="M347" s="3" t="s">
        <v>3356</v>
      </c>
      <c r="O347" s="3" t="s">
        <v>65</v>
      </c>
      <c r="P347" s="3" t="s">
        <v>492</v>
      </c>
      <c r="R347" s="3" t="s">
        <v>68</v>
      </c>
      <c r="S347" s="4">
        <v>2</v>
      </c>
      <c r="T347" s="4">
        <v>2</v>
      </c>
      <c r="U347" s="5" t="s">
        <v>4466</v>
      </c>
      <c r="V347" s="5" t="s">
        <v>4466</v>
      </c>
      <c r="W347" s="5" t="s">
        <v>4412</v>
      </c>
      <c r="X347" s="5" t="s">
        <v>4412</v>
      </c>
      <c r="Y347" s="4">
        <v>325</v>
      </c>
      <c r="Z347" s="4">
        <v>296</v>
      </c>
      <c r="AA347" s="4">
        <v>329</v>
      </c>
      <c r="AB347" s="4">
        <v>4</v>
      </c>
      <c r="AC347" s="4">
        <v>4</v>
      </c>
      <c r="AD347" s="4">
        <v>29</v>
      </c>
      <c r="AE347" s="4">
        <v>31</v>
      </c>
      <c r="AF347" s="4">
        <v>11</v>
      </c>
      <c r="AG347" s="4">
        <v>13</v>
      </c>
      <c r="AH347" s="4">
        <v>7</v>
      </c>
      <c r="AI347" s="4">
        <v>7</v>
      </c>
      <c r="AJ347" s="4">
        <v>20</v>
      </c>
      <c r="AK347" s="4">
        <v>21</v>
      </c>
      <c r="AL347" s="4">
        <v>1</v>
      </c>
      <c r="AM347" s="4">
        <v>1</v>
      </c>
      <c r="AN347" s="4">
        <v>0</v>
      </c>
      <c r="AO347" s="4">
        <v>0</v>
      </c>
      <c r="AP347" s="3" t="s">
        <v>58</v>
      </c>
      <c r="AQ347" s="3" t="s">
        <v>58</v>
      </c>
      <c r="AS347" s="6" t="str">
        <f>HYPERLINK("https://creighton-primo.hosted.exlibrisgroup.com/primo-explore/search?tab=default_tab&amp;search_scope=EVERYTHING&amp;vid=01CRU&amp;lang=en_US&amp;offset=0&amp;query=any,contains,991003547669702656","Catalog Record")</f>
        <v>Catalog Record</v>
      </c>
      <c r="AT347" s="6" t="str">
        <f>HYPERLINK("http://www.worldcat.org/oclc/1114782","WorldCat Record")</f>
        <v>WorldCat Record</v>
      </c>
      <c r="AU347" s="3" t="s">
        <v>4467</v>
      </c>
      <c r="AV347" s="3" t="s">
        <v>4468</v>
      </c>
      <c r="AW347" s="3" t="s">
        <v>4469</v>
      </c>
      <c r="AX347" s="3" t="s">
        <v>4469</v>
      </c>
      <c r="AY347" s="3" t="s">
        <v>4470</v>
      </c>
      <c r="AZ347" s="3" t="s">
        <v>75</v>
      </c>
      <c r="BC347" s="3" t="s">
        <v>4471</v>
      </c>
      <c r="BD347" s="3" t="s">
        <v>4472</v>
      </c>
    </row>
    <row r="348" spans="1:56" ht="39" customHeight="1" x14ac:dyDescent="0.25">
      <c r="A348" s="7" t="s">
        <v>58</v>
      </c>
      <c r="B348" s="2" t="s">
        <v>4473</v>
      </c>
      <c r="C348" s="2" t="s">
        <v>4474</v>
      </c>
      <c r="D348" s="2" t="s">
        <v>4475</v>
      </c>
      <c r="F348" s="3" t="s">
        <v>58</v>
      </c>
      <c r="G348" s="3" t="s">
        <v>59</v>
      </c>
      <c r="H348" s="3" t="s">
        <v>58</v>
      </c>
      <c r="I348" s="3" t="s">
        <v>58</v>
      </c>
      <c r="J348" s="3" t="s">
        <v>60</v>
      </c>
      <c r="K348" s="2" t="s">
        <v>4476</v>
      </c>
      <c r="L348" s="2" t="s">
        <v>4477</v>
      </c>
      <c r="M348" s="3" t="s">
        <v>1449</v>
      </c>
      <c r="O348" s="3" t="s">
        <v>65</v>
      </c>
      <c r="P348" s="3" t="s">
        <v>492</v>
      </c>
      <c r="R348" s="3" t="s">
        <v>68</v>
      </c>
      <c r="S348" s="4">
        <v>2</v>
      </c>
      <c r="T348" s="4">
        <v>2</v>
      </c>
      <c r="U348" s="5" t="s">
        <v>4478</v>
      </c>
      <c r="V348" s="5" t="s">
        <v>4478</v>
      </c>
      <c r="W348" s="5" t="s">
        <v>4412</v>
      </c>
      <c r="X348" s="5" t="s">
        <v>4412</v>
      </c>
      <c r="Y348" s="4">
        <v>147</v>
      </c>
      <c r="Z348" s="4">
        <v>130</v>
      </c>
      <c r="AA348" s="4">
        <v>135</v>
      </c>
      <c r="AB348" s="4">
        <v>2</v>
      </c>
      <c r="AC348" s="4">
        <v>2</v>
      </c>
      <c r="AD348" s="4">
        <v>22</v>
      </c>
      <c r="AE348" s="4">
        <v>22</v>
      </c>
      <c r="AF348" s="4">
        <v>7</v>
      </c>
      <c r="AG348" s="4">
        <v>7</v>
      </c>
      <c r="AH348" s="4">
        <v>4</v>
      </c>
      <c r="AI348" s="4">
        <v>4</v>
      </c>
      <c r="AJ348" s="4">
        <v>18</v>
      </c>
      <c r="AK348" s="4">
        <v>18</v>
      </c>
      <c r="AL348" s="4">
        <v>0</v>
      </c>
      <c r="AM348" s="4">
        <v>0</v>
      </c>
      <c r="AN348" s="4">
        <v>0</v>
      </c>
      <c r="AO348" s="4">
        <v>0</v>
      </c>
      <c r="AP348" s="3" t="s">
        <v>58</v>
      </c>
      <c r="AQ348" s="3" t="s">
        <v>132</v>
      </c>
      <c r="AR348" s="6" t="str">
        <f>HYPERLINK("http://catalog.hathitrust.org/Record/007372242","HathiTrust Record")</f>
        <v>HathiTrust Record</v>
      </c>
      <c r="AS348" s="6" t="str">
        <f>HYPERLINK("https://creighton-primo.hosted.exlibrisgroup.com/primo-explore/search?tab=default_tab&amp;search_scope=EVERYTHING&amp;vid=01CRU&amp;lang=en_US&amp;offset=0&amp;query=any,contains,991003250259702656","Catalog Record")</f>
        <v>Catalog Record</v>
      </c>
      <c r="AT348" s="6" t="str">
        <f>HYPERLINK("http://www.worldcat.org/oclc/775272","WorldCat Record")</f>
        <v>WorldCat Record</v>
      </c>
      <c r="AU348" s="3" t="s">
        <v>4479</v>
      </c>
      <c r="AV348" s="3" t="s">
        <v>4480</v>
      </c>
      <c r="AW348" s="3" t="s">
        <v>4481</v>
      </c>
      <c r="AX348" s="3" t="s">
        <v>4481</v>
      </c>
      <c r="AY348" s="3" t="s">
        <v>4482</v>
      </c>
      <c r="AZ348" s="3" t="s">
        <v>75</v>
      </c>
      <c r="BC348" s="3" t="s">
        <v>4483</v>
      </c>
      <c r="BD348" s="3" t="s">
        <v>4484</v>
      </c>
    </row>
    <row r="349" spans="1:56" ht="39" customHeight="1" x14ac:dyDescent="0.25">
      <c r="A349" s="7" t="s">
        <v>58</v>
      </c>
      <c r="B349" s="2" t="s">
        <v>4485</v>
      </c>
      <c r="C349" s="2" t="s">
        <v>4486</v>
      </c>
      <c r="D349" s="2" t="s">
        <v>4487</v>
      </c>
      <c r="F349" s="3" t="s">
        <v>58</v>
      </c>
      <c r="G349" s="3" t="s">
        <v>59</v>
      </c>
      <c r="H349" s="3" t="s">
        <v>58</v>
      </c>
      <c r="I349" s="3" t="s">
        <v>58</v>
      </c>
      <c r="J349" s="3" t="s">
        <v>60</v>
      </c>
      <c r="K349" s="2" t="s">
        <v>4488</v>
      </c>
      <c r="L349" s="2" t="s">
        <v>4489</v>
      </c>
      <c r="M349" s="3" t="s">
        <v>4490</v>
      </c>
      <c r="O349" s="3" t="s">
        <v>65</v>
      </c>
      <c r="P349" s="3" t="s">
        <v>186</v>
      </c>
      <c r="R349" s="3" t="s">
        <v>68</v>
      </c>
      <c r="S349" s="4">
        <v>1</v>
      </c>
      <c r="T349" s="4">
        <v>1</v>
      </c>
      <c r="U349" s="5" t="s">
        <v>4491</v>
      </c>
      <c r="V349" s="5" t="s">
        <v>4491</v>
      </c>
      <c r="W349" s="5" t="s">
        <v>4412</v>
      </c>
      <c r="X349" s="5" t="s">
        <v>4412</v>
      </c>
      <c r="Y349" s="4">
        <v>95</v>
      </c>
      <c r="Z349" s="4">
        <v>87</v>
      </c>
      <c r="AA349" s="4">
        <v>1192</v>
      </c>
      <c r="AB349" s="4">
        <v>2</v>
      </c>
      <c r="AC349" s="4">
        <v>12</v>
      </c>
      <c r="AD349" s="4">
        <v>1</v>
      </c>
      <c r="AE349" s="4">
        <v>36</v>
      </c>
      <c r="AF349" s="4">
        <v>0</v>
      </c>
      <c r="AG349" s="4">
        <v>18</v>
      </c>
      <c r="AH349" s="4">
        <v>0</v>
      </c>
      <c r="AI349" s="4">
        <v>6</v>
      </c>
      <c r="AJ349" s="4">
        <v>0</v>
      </c>
      <c r="AK349" s="4">
        <v>14</v>
      </c>
      <c r="AL349" s="4">
        <v>1</v>
      </c>
      <c r="AM349" s="4">
        <v>7</v>
      </c>
      <c r="AN349" s="4">
        <v>0</v>
      </c>
      <c r="AO349" s="4">
        <v>0</v>
      </c>
      <c r="AP349" s="3" t="s">
        <v>58</v>
      </c>
      <c r="AQ349" s="3" t="s">
        <v>58</v>
      </c>
      <c r="AS349" s="6" t="str">
        <f>HYPERLINK("https://creighton-primo.hosted.exlibrisgroup.com/primo-explore/search?tab=default_tab&amp;search_scope=EVERYTHING&amp;vid=01CRU&amp;lang=en_US&amp;offset=0&amp;query=any,contains,991004122549702656","Catalog Record")</f>
        <v>Catalog Record</v>
      </c>
      <c r="AT349" s="6" t="str">
        <f>HYPERLINK("http://www.worldcat.org/oclc/2433051","WorldCat Record")</f>
        <v>WorldCat Record</v>
      </c>
      <c r="AU349" s="3" t="s">
        <v>4492</v>
      </c>
      <c r="AV349" s="3" t="s">
        <v>4493</v>
      </c>
      <c r="AW349" s="3" t="s">
        <v>4494</v>
      </c>
      <c r="AX349" s="3" t="s">
        <v>4494</v>
      </c>
      <c r="AY349" s="3" t="s">
        <v>4495</v>
      </c>
      <c r="AZ349" s="3" t="s">
        <v>75</v>
      </c>
      <c r="BC349" s="3" t="s">
        <v>4496</v>
      </c>
      <c r="BD349" s="3" t="s">
        <v>4497</v>
      </c>
    </row>
    <row r="350" spans="1:56" ht="39" customHeight="1" x14ac:dyDescent="0.25">
      <c r="A350" s="7" t="s">
        <v>58</v>
      </c>
      <c r="B350" s="2" t="s">
        <v>4498</v>
      </c>
      <c r="C350" s="2" t="s">
        <v>4499</v>
      </c>
      <c r="D350" s="2" t="s">
        <v>4500</v>
      </c>
      <c r="F350" s="3" t="s">
        <v>58</v>
      </c>
      <c r="G350" s="3" t="s">
        <v>59</v>
      </c>
      <c r="H350" s="3" t="s">
        <v>58</v>
      </c>
      <c r="I350" s="3" t="s">
        <v>58</v>
      </c>
      <c r="J350" s="3" t="s">
        <v>60</v>
      </c>
      <c r="K350" s="2" t="s">
        <v>4501</v>
      </c>
      <c r="L350" s="2" t="s">
        <v>4502</v>
      </c>
      <c r="M350" s="3" t="s">
        <v>4503</v>
      </c>
      <c r="O350" s="3" t="s">
        <v>65</v>
      </c>
      <c r="P350" s="3" t="s">
        <v>492</v>
      </c>
      <c r="R350" s="3" t="s">
        <v>68</v>
      </c>
      <c r="S350" s="4">
        <v>4</v>
      </c>
      <c r="T350" s="4">
        <v>4</v>
      </c>
      <c r="U350" s="5" t="s">
        <v>4504</v>
      </c>
      <c r="V350" s="5" t="s">
        <v>4504</v>
      </c>
      <c r="W350" s="5" t="s">
        <v>4412</v>
      </c>
      <c r="X350" s="5" t="s">
        <v>4412</v>
      </c>
      <c r="Y350" s="4">
        <v>175</v>
      </c>
      <c r="Z350" s="4">
        <v>166</v>
      </c>
      <c r="AA350" s="4">
        <v>167</v>
      </c>
      <c r="AB350" s="4">
        <v>2</v>
      </c>
      <c r="AC350" s="4">
        <v>2</v>
      </c>
      <c r="AD350" s="4">
        <v>19</v>
      </c>
      <c r="AE350" s="4">
        <v>19</v>
      </c>
      <c r="AF350" s="4">
        <v>6</v>
      </c>
      <c r="AG350" s="4">
        <v>6</v>
      </c>
      <c r="AH350" s="4">
        <v>4</v>
      </c>
      <c r="AI350" s="4">
        <v>4</v>
      </c>
      <c r="AJ350" s="4">
        <v>14</v>
      </c>
      <c r="AK350" s="4">
        <v>14</v>
      </c>
      <c r="AL350" s="4">
        <v>0</v>
      </c>
      <c r="AM350" s="4">
        <v>0</v>
      </c>
      <c r="AN350" s="4">
        <v>0</v>
      </c>
      <c r="AO350" s="4">
        <v>0</v>
      </c>
      <c r="AP350" s="3" t="s">
        <v>58</v>
      </c>
      <c r="AQ350" s="3" t="s">
        <v>132</v>
      </c>
      <c r="AR350" s="6" t="str">
        <f>HYPERLINK("http://catalog.hathitrust.org/Record/001414165","HathiTrust Record")</f>
        <v>HathiTrust Record</v>
      </c>
      <c r="AS350" s="6" t="str">
        <f>HYPERLINK("https://creighton-primo.hosted.exlibrisgroup.com/primo-explore/search?tab=default_tab&amp;search_scope=EVERYTHING&amp;vid=01CRU&amp;lang=en_US&amp;offset=0&amp;query=any,contains,991003783599702656","Catalog Record")</f>
        <v>Catalog Record</v>
      </c>
      <c r="AT350" s="6" t="str">
        <f>HYPERLINK("http://www.worldcat.org/oclc/1498806","WorldCat Record")</f>
        <v>WorldCat Record</v>
      </c>
      <c r="AU350" s="3" t="s">
        <v>4505</v>
      </c>
      <c r="AV350" s="3" t="s">
        <v>4506</v>
      </c>
      <c r="AW350" s="3" t="s">
        <v>4507</v>
      </c>
      <c r="AX350" s="3" t="s">
        <v>4507</v>
      </c>
      <c r="AY350" s="3" t="s">
        <v>4508</v>
      </c>
      <c r="AZ350" s="3" t="s">
        <v>75</v>
      </c>
      <c r="BC350" s="3" t="s">
        <v>4509</v>
      </c>
      <c r="BD350" s="3" t="s">
        <v>4510</v>
      </c>
    </row>
    <row r="351" spans="1:56" ht="39" customHeight="1" x14ac:dyDescent="0.25">
      <c r="A351" s="7" t="s">
        <v>58</v>
      </c>
      <c r="B351" s="2" t="s">
        <v>4511</v>
      </c>
      <c r="C351" s="2" t="s">
        <v>4512</v>
      </c>
      <c r="D351" s="2" t="s">
        <v>4513</v>
      </c>
      <c r="F351" s="3" t="s">
        <v>58</v>
      </c>
      <c r="G351" s="3" t="s">
        <v>59</v>
      </c>
      <c r="H351" s="3" t="s">
        <v>58</v>
      </c>
      <c r="I351" s="3" t="s">
        <v>58</v>
      </c>
      <c r="J351" s="3" t="s">
        <v>60</v>
      </c>
      <c r="K351" s="2" t="s">
        <v>4514</v>
      </c>
      <c r="L351" s="2" t="s">
        <v>4515</v>
      </c>
      <c r="M351" s="3" t="s">
        <v>415</v>
      </c>
      <c r="O351" s="3" t="s">
        <v>65</v>
      </c>
      <c r="P351" s="3" t="s">
        <v>954</v>
      </c>
      <c r="R351" s="3" t="s">
        <v>68</v>
      </c>
      <c r="S351" s="4">
        <v>1</v>
      </c>
      <c r="T351" s="4">
        <v>1</v>
      </c>
      <c r="U351" s="5" t="s">
        <v>4516</v>
      </c>
      <c r="V351" s="5" t="s">
        <v>4516</v>
      </c>
      <c r="W351" s="5" t="s">
        <v>4412</v>
      </c>
      <c r="X351" s="5" t="s">
        <v>4412</v>
      </c>
      <c r="Y351" s="4">
        <v>250</v>
      </c>
      <c r="Z351" s="4">
        <v>241</v>
      </c>
      <c r="AA351" s="4">
        <v>264</v>
      </c>
      <c r="AB351" s="4">
        <v>3</v>
      </c>
      <c r="AC351" s="4">
        <v>3</v>
      </c>
      <c r="AD351" s="4">
        <v>26</v>
      </c>
      <c r="AE351" s="4">
        <v>27</v>
      </c>
      <c r="AF351" s="4">
        <v>9</v>
      </c>
      <c r="AG351" s="4">
        <v>9</v>
      </c>
      <c r="AH351" s="4">
        <v>6</v>
      </c>
      <c r="AI351" s="4">
        <v>7</v>
      </c>
      <c r="AJ351" s="4">
        <v>19</v>
      </c>
      <c r="AK351" s="4">
        <v>20</v>
      </c>
      <c r="AL351" s="4">
        <v>0</v>
      </c>
      <c r="AM351" s="4">
        <v>0</v>
      </c>
      <c r="AN351" s="4">
        <v>0</v>
      </c>
      <c r="AO351" s="4">
        <v>0</v>
      </c>
      <c r="AP351" s="3" t="s">
        <v>58</v>
      </c>
      <c r="AQ351" s="3" t="s">
        <v>132</v>
      </c>
      <c r="AR351" s="6" t="str">
        <f>HYPERLINK("http://catalog.hathitrust.org/Record/006634875","HathiTrust Record")</f>
        <v>HathiTrust Record</v>
      </c>
      <c r="AS351" s="6" t="str">
        <f>HYPERLINK("https://creighton-primo.hosted.exlibrisgroup.com/primo-explore/search?tab=default_tab&amp;search_scope=EVERYTHING&amp;vid=01CRU&amp;lang=en_US&amp;offset=0&amp;query=any,contains,991002733969702656","Catalog Record")</f>
        <v>Catalog Record</v>
      </c>
      <c r="AT351" s="6" t="str">
        <f>HYPERLINK("http://www.worldcat.org/oclc/418419","WorldCat Record")</f>
        <v>WorldCat Record</v>
      </c>
      <c r="AU351" s="3" t="s">
        <v>4517</v>
      </c>
      <c r="AV351" s="3" t="s">
        <v>4518</v>
      </c>
      <c r="AW351" s="3" t="s">
        <v>4519</v>
      </c>
      <c r="AX351" s="3" t="s">
        <v>4519</v>
      </c>
      <c r="AY351" s="3" t="s">
        <v>4520</v>
      </c>
      <c r="AZ351" s="3" t="s">
        <v>75</v>
      </c>
      <c r="BC351" s="3" t="s">
        <v>4521</v>
      </c>
      <c r="BD351" s="3" t="s">
        <v>4522</v>
      </c>
    </row>
    <row r="352" spans="1:56" ht="39" customHeight="1" x14ac:dyDescent="0.25">
      <c r="A352" s="7" t="s">
        <v>58</v>
      </c>
      <c r="B352" s="2" t="s">
        <v>4523</v>
      </c>
      <c r="C352" s="2" t="s">
        <v>4524</v>
      </c>
      <c r="D352" s="2" t="s">
        <v>4525</v>
      </c>
      <c r="F352" s="3" t="s">
        <v>58</v>
      </c>
      <c r="G352" s="3" t="s">
        <v>59</v>
      </c>
      <c r="H352" s="3" t="s">
        <v>58</v>
      </c>
      <c r="I352" s="3" t="s">
        <v>58</v>
      </c>
      <c r="J352" s="3" t="s">
        <v>60</v>
      </c>
      <c r="K352" s="2" t="s">
        <v>4526</v>
      </c>
      <c r="L352" s="2" t="s">
        <v>4527</v>
      </c>
      <c r="M352" s="3" t="s">
        <v>462</v>
      </c>
      <c r="O352" s="3" t="s">
        <v>65</v>
      </c>
      <c r="P352" s="3" t="s">
        <v>113</v>
      </c>
      <c r="R352" s="3" t="s">
        <v>68</v>
      </c>
      <c r="S352" s="4">
        <v>5</v>
      </c>
      <c r="T352" s="4">
        <v>5</v>
      </c>
      <c r="U352" s="5" t="s">
        <v>4528</v>
      </c>
      <c r="V352" s="5" t="s">
        <v>4528</v>
      </c>
      <c r="W352" s="5" t="s">
        <v>348</v>
      </c>
      <c r="X352" s="5" t="s">
        <v>348</v>
      </c>
      <c r="Y352" s="4">
        <v>173</v>
      </c>
      <c r="Z352" s="4">
        <v>158</v>
      </c>
      <c r="AA352" s="4">
        <v>158</v>
      </c>
      <c r="AB352" s="4">
        <v>2</v>
      </c>
      <c r="AC352" s="4">
        <v>2</v>
      </c>
      <c r="AD352" s="4">
        <v>23</v>
      </c>
      <c r="AE352" s="4">
        <v>23</v>
      </c>
      <c r="AF352" s="4">
        <v>8</v>
      </c>
      <c r="AG352" s="4">
        <v>8</v>
      </c>
      <c r="AH352" s="4">
        <v>7</v>
      </c>
      <c r="AI352" s="4">
        <v>7</v>
      </c>
      <c r="AJ352" s="4">
        <v>18</v>
      </c>
      <c r="AK352" s="4">
        <v>18</v>
      </c>
      <c r="AL352" s="4">
        <v>0</v>
      </c>
      <c r="AM352" s="4">
        <v>0</v>
      </c>
      <c r="AN352" s="4">
        <v>0</v>
      </c>
      <c r="AO352" s="4">
        <v>0</v>
      </c>
      <c r="AP352" s="3" t="s">
        <v>58</v>
      </c>
      <c r="AQ352" s="3" t="s">
        <v>58</v>
      </c>
      <c r="AS352" s="6" t="str">
        <f>HYPERLINK("https://creighton-primo.hosted.exlibrisgroup.com/primo-explore/search?tab=default_tab&amp;search_scope=EVERYTHING&amp;vid=01CRU&amp;lang=en_US&amp;offset=0&amp;query=any,contains,991000405179702656","Catalog Record")</f>
        <v>Catalog Record</v>
      </c>
      <c r="AT352" s="6" t="str">
        <f>HYPERLINK("http://www.worldcat.org/oclc/11400417","WorldCat Record")</f>
        <v>WorldCat Record</v>
      </c>
      <c r="AU352" s="3" t="s">
        <v>4529</v>
      </c>
      <c r="AV352" s="3" t="s">
        <v>4530</v>
      </c>
      <c r="AW352" s="3" t="s">
        <v>4531</v>
      </c>
      <c r="AX352" s="3" t="s">
        <v>4531</v>
      </c>
      <c r="AY352" s="3" t="s">
        <v>4532</v>
      </c>
      <c r="AZ352" s="3" t="s">
        <v>75</v>
      </c>
      <c r="BC352" s="3" t="s">
        <v>4533</v>
      </c>
      <c r="BD352" s="3" t="s">
        <v>4534</v>
      </c>
    </row>
    <row r="353" spans="1:56" ht="39" customHeight="1" x14ac:dyDescent="0.25">
      <c r="A353" s="7" t="s">
        <v>58</v>
      </c>
      <c r="B353" s="2" t="s">
        <v>4535</v>
      </c>
      <c r="C353" s="2" t="s">
        <v>4536</v>
      </c>
      <c r="D353" s="2" t="s">
        <v>4537</v>
      </c>
      <c r="F353" s="3" t="s">
        <v>58</v>
      </c>
      <c r="G353" s="3" t="s">
        <v>59</v>
      </c>
      <c r="H353" s="3" t="s">
        <v>58</v>
      </c>
      <c r="I353" s="3" t="s">
        <v>58</v>
      </c>
      <c r="J353" s="3" t="s">
        <v>60</v>
      </c>
      <c r="K353" s="2" t="s">
        <v>4538</v>
      </c>
      <c r="L353" s="2" t="s">
        <v>4539</v>
      </c>
      <c r="M353" s="3" t="s">
        <v>427</v>
      </c>
      <c r="O353" s="3" t="s">
        <v>65</v>
      </c>
      <c r="P353" s="3" t="s">
        <v>186</v>
      </c>
      <c r="R353" s="3" t="s">
        <v>68</v>
      </c>
      <c r="S353" s="4">
        <v>9</v>
      </c>
      <c r="T353" s="4">
        <v>9</v>
      </c>
      <c r="U353" s="5" t="s">
        <v>4540</v>
      </c>
      <c r="V353" s="5" t="s">
        <v>4540</v>
      </c>
      <c r="W353" s="5" t="s">
        <v>4412</v>
      </c>
      <c r="X353" s="5" t="s">
        <v>4412</v>
      </c>
      <c r="Y353" s="4">
        <v>285</v>
      </c>
      <c r="Z353" s="4">
        <v>254</v>
      </c>
      <c r="AA353" s="4">
        <v>280</v>
      </c>
      <c r="AB353" s="4">
        <v>1</v>
      </c>
      <c r="AC353" s="4">
        <v>1</v>
      </c>
      <c r="AD353" s="4">
        <v>22</v>
      </c>
      <c r="AE353" s="4">
        <v>22</v>
      </c>
      <c r="AF353" s="4">
        <v>7</v>
      </c>
      <c r="AG353" s="4">
        <v>7</v>
      </c>
      <c r="AH353" s="4">
        <v>5</v>
      </c>
      <c r="AI353" s="4">
        <v>5</v>
      </c>
      <c r="AJ353" s="4">
        <v>16</v>
      </c>
      <c r="AK353" s="4">
        <v>16</v>
      </c>
      <c r="AL353" s="4">
        <v>0</v>
      </c>
      <c r="AM353" s="4">
        <v>0</v>
      </c>
      <c r="AN353" s="4">
        <v>0</v>
      </c>
      <c r="AO353" s="4">
        <v>0</v>
      </c>
      <c r="AP353" s="3" t="s">
        <v>58</v>
      </c>
      <c r="AQ353" s="3" t="s">
        <v>58</v>
      </c>
      <c r="AS353" s="6" t="str">
        <f>HYPERLINK("https://creighton-primo.hosted.exlibrisgroup.com/primo-explore/search?tab=default_tab&amp;search_scope=EVERYTHING&amp;vid=01CRU&amp;lang=en_US&amp;offset=0&amp;query=any,contains,991004648329702656","Catalog Record")</f>
        <v>Catalog Record</v>
      </c>
      <c r="AT353" s="6" t="str">
        <f>HYPERLINK("http://www.worldcat.org/oclc/4492891","WorldCat Record")</f>
        <v>WorldCat Record</v>
      </c>
      <c r="AU353" s="3" t="s">
        <v>4541</v>
      </c>
      <c r="AV353" s="3" t="s">
        <v>4542</v>
      </c>
      <c r="AW353" s="3" t="s">
        <v>4543</v>
      </c>
      <c r="AX353" s="3" t="s">
        <v>4543</v>
      </c>
      <c r="AY353" s="3" t="s">
        <v>4544</v>
      </c>
      <c r="AZ353" s="3" t="s">
        <v>75</v>
      </c>
      <c r="BB353" s="3" t="s">
        <v>4545</v>
      </c>
      <c r="BC353" s="3" t="s">
        <v>4546</v>
      </c>
      <c r="BD353" s="3" t="s">
        <v>4547</v>
      </c>
    </row>
    <row r="354" spans="1:56" ht="39" customHeight="1" x14ac:dyDescent="0.25">
      <c r="A354" s="7" t="s">
        <v>58</v>
      </c>
      <c r="B354" s="2" t="s">
        <v>4548</v>
      </c>
      <c r="C354" s="2" t="s">
        <v>4549</v>
      </c>
      <c r="D354" s="2" t="s">
        <v>4550</v>
      </c>
      <c r="F354" s="3" t="s">
        <v>58</v>
      </c>
      <c r="G354" s="3" t="s">
        <v>59</v>
      </c>
      <c r="H354" s="3" t="s">
        <v>58</v>
      </c>
      <c r="I354" s="3" t="s">
        <v>58</v>
      </c>
      <c r="J354" s="3" t="s">
        <v>60</v>
      </c>
      <c r="K354" s="2" t="s">
        <v>4551</v>
      </c>
      <c r="L354" s="2" t="s">
        <v>4552</v>
      </c>
      <c r="M354" s="3" t="s">
        <v>682</v>
      </c>
      <c r="O354" s="3" t="s">
        <v>65</v>
      </c>
      <c r="P354" s="3" t="s">
        <v>492</v>
      </c>
      <c r="R354" s="3" t="s">
        <v>68</v>
      </c>
      <c r="S354" s="4">
        <v>3</v>
      </c>
      <c r="T354" s="4">
        <v>3</v>
      </c>
      <c r="U354" s="5" t="s">
        <v>4553</v>
      </c>
      <c r="V354" s="5" t="s">
        <v>4553</v>
      </c>
      <c r="W354" s="5" t="s">
        <v>4122</v>
      </c>
      <c r="X354" s="5" t="s">
        <v>4122</v>
      </c>
      <c r="Y354" s="4">
        <v>78</v>
      </c>
      <c r="Z354" s="4">
        <v>71</v>
      </c>
      <c r="AA354" s="4">
        <v>76</v>
      </c>
      <c r="AB354" s="4">
        <v>2</v>
      </c>
      <c r="AC354" s="4">
        <v>2</v>
      </c>
      <c r="AD354" s="4">
        <v>4</v>
      </c>
      <c r="AE354" s="4">
        <v>4</v>
      </c>
      <c r="AF354" s="4">
        <v>2</v>
      </c>
      <c r="AG354" s="4">
        <v>2</v>
      </c>
      <c r="AH354" s="4">
        <v>1</v>
      </c>
      <c r="AI354" s="4">
        <v>1</v>
      </c>
      <c r="AJ354" s="4">
        <v>3</v>
      </c>
      <c r="AK354" s="4">
        <v>3</v>
      </c>
      <c r="AL354" s="4">
        <v>0</v>
      </c>
      <c r="AM354" s="4">
        <v>0</v>
      </c>
      <c r="AN354" s="4">
        <v>0</v>
      </c>
      <c r="AO354" s="4">
        <v>0</v>
      </c>
      <c r="AP354" s="3" t="s">
        <v>58</v>
      </c>
      <c r="AQ354" s="3" t="s">
        <v>58</v>
      </c>
      <c r="AS354" s="6" t="str">
        <f>HYPERLINK("https://creighton-primo.hosted.exlibrisgroup.com/primo-explore/search?tab=default_tab&amp;search_scope=EVERYTHING&amp;vid=01CRU&amp;lang=en_US&amp;offset=0&amp;query=any,contains,991003482939702656","Catalog Record")</f>
        <v>Catalog Record</v>
      </c>
      <c r="AT354" s="6" t="str">
        <f>HYPERLINK("http://www.worldcat.org/oclc/1030639","WorldCat Record")</f>
        <v>WorldCat Record</v>
      </c>
      <c r="AU354" s="3" t="s">
        <v>4554</v>
      </c>
      <c r="AV354" s="3" t="s">
        <v>4555</v>
      </c>
      <c r="AW354" s="3" t="s">
        <v>4556</v>
      </c>
      <c r="AX354" s="3" t="s">
        <v>4556</v>
      </c>
      <c r="AY354" s="3" t="s">
        <v>4557</v>
      </c>
      <c r="AZ354" s="3" t="s">
        <v>75</v>
      </c>
      <c r="BC354" s="3" t="s">
        <v>4558</v>
      </c>
      <c r="BD354" s="3" t="s">
        <v>4559</v>
      </c>
    </row>
    <row r="355" spans="1:56" ht="39" customHeight="1" x14ac:dyDescent="0.25">
      <c r="A355" s="7" t="s">
        <v>58</v>
      </c>
      <c r="B355" s="2" t="s">
        <v>4560</v>
      </c>
      <c r="C355" s="2" t="s">
        <v>4561</v>
      </c>
      <c r="D355" s="2" t="s">
        <v>4562</v>
      </c>
      <c r="F355" s="3" t="s">
        <v>58</v>
      </c>
      <c r="G355" s="3" t="s">
        <v>59</v>
      </c>
      <c r="H355" s="3" t="s">
        <v>58</v>
      </c>
      <c r="I355" s="3" t="s">
        <v>58</v>
      </c>
      <c r="J355" s="3" t="s">
        <v>60</v>
      </c>
      <c r="L355" s="2" t="s">
        <v>4563</v>
      </c>
      <c r="M355" s="3" t="s">
        <v>185</v>
      </c>
      <c r="O355" s="3" t="s">
        <v>65</v>
      </c>
      <c r="P355" s="3" t="s">
        <v>3503</v>
      </c>
      <c r="R355" s="3" t="s">
        <v>68</v>
      </c>
      <c r="S355" s="4">
        <v>8</v>
      </c>
      <c r="T355" s="4">
        <v>8</v>
      </c>
      <c r="U355" s="5" t="s">
        <v>4564</v>
      </c>
      <c r="V355" s="5" t="s">
        <v>4564</v>
      </c>
      <c r="W355" s="5" t="s">
        <v>4565</v>
      </c>
      <c r="X355" s="5" t="s">
        <v>4565</v>
      </c>
      <c r="Y355" s="4">
        <v>187</v>
      </c>
      <c r="Z355" s="4">
        <v>153</v>
      </c>
      <c r="AA355" s="4">
        <v>153</v>
      </c>
      <c r="AB355" s="4">
        <v>2</v>
      </c>
      <c r="AC355" s="4">
        <v>2</v>
      </c>
      <c r="AD355" s="4">
        <v>11</v>
      </c>
      <c r="AE355" s="4">
        <v>11</v>
      </c>
      <c r="AF355" s="4">
        <v>5</v>
      </c>
      <c r="AG355" s="4">
        <v>5</v>
      </c>
      <c r="AH355" s="4">
        <v>2</v>
      </c>
      <c r="AI355" s="4">
        <v>2</v>
      </c>
      <c r="AJ355" s="4">
        <v>5</v>
      </c>
      <c r="AK355" s="4">
        <v>5</v>
      </c>
      <c r="AL355" s="4">
        <v>1</v>
      </c>
      <c r="AM355" s="4">
        <v>1</v>
      </c>
      <c r="AN355" s="4">
        <v>0</v>
      </c>
      <c r="AO355" s="4">
        <v>0</v>
      </c>
      <c r="AP355" s="3" t="s">
        <v>58</v>
      </c>
      <c r="AQ355" s="3" t="s">
        <v>58</v>
      </c>
      <c r="AS355" s="6" t="str">
        <f>HYPERLINK("https://creighton-primo.hosted.exlibrisgroup.com/primo-explore/search?tab=default_tab&amp;search_scope=EVERYTHING&amp;vid=01CRU&amp;lang=en_US&amp;offset=0&amp;query=any,contains,991003515779702656","Catalog Record")</f>
        <v>Catalog Record</v>
      </c>
      <c r="AT355" s="6" t="str">
        <f>HYPERLINK("http://www.worldcat.org/oclc/43798379","WorldCat Record")</f>
        <v>WorldCat Record</v>
      </c>
      <c r="AU355" s="3" t="s">
        <v>4566</v>
      </c>
      <c r="AV355" s="3" t="s">
        <v>4567</v>
      </c>
      <c r="AW355" s="3" t="s">
        <v>4568</v>
      </c>
      <c r="AX355" s="3" t="s">
        <v>4568</v>
      </c>
      <c r="AY355" s="3" t="s">
        <v>4569</v>
      </c>
      <c r="AZ355" s="3" t="s">
        <v>75</v>
      </c>
      <c r="BB355" s="3" t="s">
        <v>4570</v>
      </c>
      <c r="BC355" s="3" t="s">
        <v>4571</v>
      </c>
      <c r="BD355" s="3" t="s">
        <v>4572</v>
      </c>
    </row>
    <row r="356" spans="1:56" ht="39" customHeight="1" x14ac:dyDescent="0.25">
      <c r="A356" s="7" t="s">
        <v>58</v>
      </c>
      <c r="B356" s="2" t="s">
        <v>4573</v>
      </c>
      <c r="C356" s="2" t="s">
        <v>4574</v>
      </c>
      <c r="D356" s="2" t="s">
        <v>4575</v>
      </c>
      <c r="F356" s="3" t="s">
        <v>58</v>
      </c>
      <c r="G356" s="3" t="s">
        <v>59</v>
      </c>
      <c r="H356" s="3" t="s">
        <v>58</v>
      </c>
      <c r="I356" s="3" t="s">
        <v>58</v>
      </c>
      <c r="J356" s="3" t="s">
        <v>60</v>
      </c>
      <c r="K356" s="2" t="s">
        <v>4576</v>
      </c>
      <c r="L356" s="2" t="s">
        <v>4577</v>
      </c>
      <c r="M356" s="3" t="s">
        <v>1412</v>
      </c>
      <c r="O356" s="3" t="s">
        <v>65</v>
      </c>
      <c r="P356" s="3" t="s">
        <v>492</v>
      </c>
      <c r="R356" s="3" t="s">
        <v>68</v>
      </c>
      <c r="S356" s="4">
        <v>1</v>
      </c>
      <c r="T356" s="4">
        <v>1</v>
      </c>
      <c r="U356" s="5" t="s">
        <v>4578</v>
      </c>
      <c r="V356" s="5" t="s">
        <v>4578</v>
      </c>
      <c r="W356" s="5" t="s">
        <v>4412</v>
      </c>
      <c r="X356" s="5" t="s">
        <v>4412</v>
      </c>
      <c r="Y356" s="4">
        <v>36</v>
      </c>
      <c r="Z356" s="4">
        <v>23</v>
      </c>
      <c r="AA356" s="4">
        <v>25</v>
      </c>
      <c r="AB356" s="4">
        <v>1</v>
      </c>
      <c r="AC356" s="4">
        <v>1</v>
      </c>
      <c r="AD356" s="4">
        <v>4</v>
      </c>
      <c r="AE356" s="4">
        <v>4</v>
      </c>
      <c r="AF356" s="4">
        <v>1</v>
      </c>
      <c r="AG356" s="4">
        <v>1</v>
      </c>
      <c r="AH356" s="4">
        <v>1</v>
      </c>
      <c r="AI356" s="4">
        <v>1</v>
      </c>
      <c r="AJ356" s="4">
        <v>3</v>
      </c>
      <c r="AK356" s="4">
        <v>3</v>
      </c>
      <c r="AL356" s="4">
        <v>0</v>
      </c>
      <c r="AM356" s="4">
        <v>0</v>
      </c>
      <c r="AN356" s="4">
        <v>0</v>
      </c>
      <c r="AO356" s="4">
        <v>0</v>
      </c>
      <c r="AP356" s="3" t="s">
        <v>58</v>
      </c>
      <c r="AQ356" s="3" t="s">
        <v>58</v>
      </c>
      <c r="AS356" s="6" t="str">
        <f>HYPERLINK("https://creighton-primo.hosted.exlibrisgroup.com/primo-explore/search?tab=default_tab&amp;search_scope=EVERYTHING&amp;vid=01CRU&amp;lang=en_US&amp;offset=0&amp;query=any,contains,991003700169702656","Catalog Record")</f>
        <v>Catalog Record</v>
      </c>
      <c r="AT356" s="6" t="str">
        <f>HYPERLINK("http://www.worldcat.org/oclc/1335821","WorldCat Record")</f>
        <v>WorldCat Record</v>
      </c>
      <c r="AU356" s="3" t="s">
        <v>4579</v>
      </c>
      <c r="AV356" s="3" t="s">
        <v>4580</v>
      </c>
      <c r="AW356" s="3" t="s">
        <v>4581</v>
      </c>
      <c r="AX356" s="3" t="s">
        <v>4581</v>
      </c>
      <c r="AY356" s="3" t="s">
        <v>4582</v>
      </c>
      <c r="AZ356" s="3" t="s">
        <v>75</v>
      </c>
      <c r="BC356" s="3" t="s">
        <v>4583</v>
      </c>
      <c r="BD356" s="3" t="s">
        <v>4584</v>
      </c>
    </row>
    <row r="357" spans="1:56" ht="39" customHeight="1" x14ac:dyDescent="0.25">
      <c r="A357" s="7" t="s">
        <v>58</v>
      </c>
      <c r="B357" s="2" t="s">
        <v>4585</v>
      </c>
      <c r="C357" s="2" t="s">
        <v>4586</v>
      </c>
      <c r="D357" s="2" t="s">
        <v>4587</v>
      </c>
      <c r="F357" s="3" t="s">
        <v>58</v>
      </c>
      <c r="G357" s="3" t="s">
        <v>59</v>
      </c>
      <c r="H357" s="3" t="s">
        <v>58</v>
      </c>
      <c r="I357" s="3" t="s">
        <v>58</v>
      </c>
      <c r="J357" s="3" t="s">
        <v>60</v>
      </c>
      <c r="K357" s="2" t="s">
        <v>4588</v>
      </c>
      <c r="L357" s="2" t="s">
        <v>4589</v>
      </c>
      <c r="M357" s="3" t="s">
        <v>303</v>
      </c>
      <c r="O357" s="3" t="s">
        <v>65</v>
      </c>
      <c r="P357" s="3" t="s">
        <v>186</v>
      </c>
      <c r="R357" s="3" t="s">
        <v>68</v>
      </c>
      <c r="S357" s="4">
        <v>7</v>
      </c>
      <c r="T357" s="4">
        <v>7</v>
      </c>
      <c r="U357" s="5" t="s">
        <v>4590</v>
      </c>
      <c r="V357" s="5" t="s">
        <v>4590</v>
      </c>
      <c r="W357" s="5" t="s">
        <v>4412</v>
      </c>
      <c r="X357" s="5" t="s">
        <v>4412</v>
      </c>
      <c r="Y357" s="4">
        <v>99</v>
      </c>
      <c r="Z357" s="4">
        <v>92</v>
      </c>
      <c r="AA357" s="4">
        <v>891</v>
      </c>
      <c r="AB357" s="4">
        <v>1</v>
      </c>
      <c r="AC357" s="4">
        <v>5</v>
      </c>
      <c r="AD357" s="4">
        <v>2</v>
      </c>
      <c r="AE357" s="4">
        <v>27</v>
      </c>
      <c r="AF357" s="4">
        <v>1</v>
      </c>
      <c r="AG357" s="4">
        <v>14</v>
      </c>
      <c r="AH357" s="4">
        <v>1</v>
      </c>
      <c r="AI357" s="4">
        <v>5</v>
      </c>
      <c r="AJ357" s="4">
        <v>0</v>
      </c>
      <c r="AK357" s="4">
        <v>10</v>
      </c>
      <c r="AL357" s="4">
        <v>0</v>
      </c>
      <c r="AM357" s="4">
        <v>3</v>
      </c>
      <c r="AN357" s="4">
        <v>0</v>
      </c>
      <c r="AO357" s="4">
        <v>0</v>
      </c>
      <c r="AP357" s="3" t="s">
        <v>58</v>
      </c>
      <c r="AQ357" s="3" t="s">
        <v>132</v>
      </c>
      <c r="AR357" s="6" t="str">
        <f>HYPERLINK("http://catalog.hathitrust.org/Record/004508858","HathiTrust Record")</f>
        <v>HathiTrust Record</v>
      </c>
      <c r="AS357" s="6" t="str">
        <f>HYPERLINK("https://creighton-primo.hosted.exlibrisgroup.com/primo-explore/search?tab=default_tab&amp;search_scope=EVERYTHING&amp;vid=01CRU&amp;lang=en_US&amp;offset=0&amp;query=any,contains,991004331819702656","Catalog Record")</f>
        <v>Catalog Record</v>
      </c>
      <c r="AT357" s="6" t="str">
        <f>HYPERLINK("http://www.worldcat.org/oclc/3063125","WorldCat Record")</f>
        <v>WorldCat Record</v>
      </c>
      <c r="AU357" s="3" t="s">
        <v>4591</v>
      </c>
      <c r="AV357" s="3" t="s">
        <v>4592</v>
      </c>
      <c r="AW357" s="3" t="s">
        <v>4593</v>
      </c>
      <c r="AX357" s="3" t="s">
        <v>4593</v>
      </c>
      <c r="AY357" s="3" t="s">
        <v>4594</v>
      </c>
      <c r="AZ357" s="3" t="s">
        <v>75</v>
      </c>
      <c r="BB357" s="3" t="s">
        <v>4595</v>
      </c>
      <c r="BC357" s="3" t="s">
        <v>4596</v>
      </c>
      <c r="BD357" s="3" t="s">
        <v>4597</v>
      </c>
    </row>
    <row r="358" spans="1:56" ht="39" customHeight="1" x14ac:dyDescent="0.25">
      <c r="A358" s="7" t="s">
        <v>58</v>
      </c>
      <c r="B358" s="2" t="s">
        <v>4598</v>
      </c>
      <c r="C358" s="2" t="s">
        <v>4599</v>
      </c>
      <c r="D358" s="2" t="s">
        <v>4600</v>
      </c>
      <c r="F358" s="3" t="s">
        <v>58</v>
      </c>
      <c r="G358" s="3" t="s">
        <v>59</v>
      </c>
      <c r="H358" s="3" t="s">
        <v>58</v>
      </c>
      <c r="I358" s="3" t="s">
        <v>58</v>
      </c>
      <c r="J358" s="3" t="s">
        <v>60</v>
      </c>
      <c r="K358" s="2" t="s">
        <v>4601</v>
      </c>
      <c r="L358" s="2" t="s">
        <v>4602</v>
      </c>
      <c r="M358" s="3" t="s">
        <v>144</v>
      </c>
      <c r="O358" s="3" t="s">
        <v>65</v>
      </c>
      <c r="P358" s="3" t="s">
        <v>66</v>
      </c>
      <c r="R358" s="3" t="s">
        <v>68</v>
      </c>
      <c r="S358" s="4">
        <v>9</v>
      </c>
      <c r="T358" s="4">
        <v>9</v>
      </c>
      <c r="U358" s="5" t="s">
        <v>4564</v>
      </c>
      <c r="V358" s="5" t="s">
        <v>4564</v>
      </c>
      <c r="W358" s="5" t="s">
        <v>4412</v>
      </c>
      <c r="X358" s="5" t="s">
        <v>4412</v>
      </c>
      <c r="Y358" s="4">
        <v>384</v>
      </c>
      <c r="Z358" s="4">
        <v>250</v>
      </c>
      <c r="AA358" s="4">
        <v>255</v>
      </c>
      <c r="AB358" s="4">
        <v>3</v>
      </c>
      <c r="AC358" s="4">
        <v>3</v>
      </c>
      <c r="AD358" s="4">
        <v>9</v>
      </c>
      <c r="AE358" s="4">
        <v>9</v>
      </c>
      <c r="AF358" s="4">
        <v>2</v>
      </c>
      <c r="AG358" s="4">
        <v>2</v>
      </c>
      <c r="AH358" s="4">
        <v>2</v>
      </c>
      <c r="AI358" s="4">
        <v>2</v>
      </c>
      <c r="AJ358" s="4">
        <v>6</v>
      </c>
      <c r="AK358" s="4">
        <v>6</v>
      </c>
      <c r="AL358" s="4">
        <v>2</v>
      </c>
      <c r="AM358" s="4">
        <v>2</v>
      </c>
      <c r="AN358" s="4">
        <v>0</v>
      </c>
      <c r="AO358" s="4">
        <v>0</v>
      </c>
      <c r="AP358" s="3" t="s">
        <v>58</v>
      </c>
      <c r="AQ358" s="3" t="s">
        <v>58</v>
      </c>
      <c r="AS358" s="6" t="str">
        <f>HYPERLINK("https://creighton-primo.hosted.exlibrisgroup.com/primo-explore/search?tab=default_tab&amp;search_scope=EVERYTHING&amp;vid=01CRU&amp;lang=en_US&amp;offset=0&amp;query=any,contains,991004394449702656","Catalog Record")</f>
        <v>Catalog Record</v>
      </c>
      <c r="AT358" s="6" t="str">
        <f>HYPERLINK("http://www.worldcat.org/oclc/3275229","WorldCat Record")</f>
        <v>WorldCat Record</v>
      </c>
      <c r="AU358" s="3" t="s">
        <v>4603</v>
      </c>
      <c r="AV358" s="3" t="s">
        <v>4604</v>
      </c>
      <c r="AW358" s="3" t="s">
        <v>4605</v>
      </c>
      <c r="AX358" s="3" t="s">
        <v>4605</v>
      </c>
      <c r="AY358" s="3" t="s">
        <v>4606</v>
      </c>
      <c r="AZ358" s="3" t="s">
        <v>75</v>
      </c>
      <c r="BB358" s="3" t="s">
        <v>4607</v>
      </c>
      <c r="BC358" s="3" t="s">
        <v>4608</v>
      </c>
      <c r="BD358" s="3" t="s">
        <v>4609</v>
      </c>
    </row>
    <row r="359" spans="1:56" ht="39" customHeight="1" x14ac:dyDescent="0.25">
      <c r="A359" s="7" t="s">
        <v>58</v>
      </c>
      <c r="B359" s="2" t="s">
        <v>4610</v>
      </c>
      <c r="C359" s="2" t="s">
        <v>4611</v>
      </c>
      <c r="D359" s="2" t="s">
        <v>4612</v>
      </c>
      <c r="F359" s="3" t="s">
        <v>58</v>
      </c>
      <c r="G359" s="3" t="s">
        <v>59</v>
      </c>
      <c r="H359" s="3" t="s">
        <v>58</v>
      </c>
      <c r="I359" s="3" t="s">
        <v>58</v>
      </c>
      <c r="J359" s="3" t="s">
        <v>60</v>
      </c>
      <c r="K359" s="2" t="s">
        <v>4613</v>
      </c>
      <c r="L359" s="2" t="s">
        <v>4614</v>
      </c>
      <c r="M359" s="3" t="s">
        <v>98</v>
      </c>
      <c r="O359" s="3" t="s">
        <v>65</v>
      </c>
      <c r="P359" s="3" t="s">
        <v>967</v>
      </c>
      <c r="Q359" s="2" t="s">
        <v>4615</v>
      </c>
      <c r="R359" s="3" t="s">
        <v>68</v>
      </c>
      <c r="S359" s="4">
        <v>8</v>
      </c>
      <c r="T359" s="4">
        <v>8</v>
      </c>
      <c r="U359" s="5" t="s">
        <v>3596</v>
      </c>
      <c r="V359" s="5" t="s">
        <v>3596</v>
      </c>
      <c r="W359" s="5" t="s">
        <v>4412</v>
      </c>
      <c r="X359" s="5" t="s">
        <v>4412</v>
      </c>
      <c r="Y359" s="4">
        <v>582</v>
      </c>
      <c r="Z359" s="4">
        <v>532</v>
      </c>
      <c r="AA359" s="4">
        <v>774</v>
      </c>
      <c r="AB359" s="4">
        <v>3</v>
      </c>
      <c r="AC359" s="4">
        <v>4</v>
      </c>
      <c r="AD359" s="4">
        <v>24</v>
      </c>
      <c r="AE359" s="4">
        <v>35</v>
      </c>
      <c r="AF359" s="4">
        <v>9</v>
      </c>
      <c r="AG359" s="4">
        <v>13</v>
      </c>
      <c r="AH359" s="4">
        <v>6</v>
      </c>
      <c r="AI359" s="4">
        <v>10</v>
      </c>
      <c r="AJ359" s="4">
        <v>11</v>
      </c>
      <c r="AK359" s="4">
        <v>17</v>
      </c>
      <c r="AL359" s="4">
        <v>2</v>
      </c>
      <c r="AM359" s="4">
        <v>3</v>
      </c>
      <c r="AN359" s="4">
        <v>0</v>
      </c>
      <c r="AO359" s="4">
        <v>0</v>
      </c>
      <c r="AP359" s="3" t="s">
        <v>58</v>
      </c>
      <c r="AQ359" s="3" t="s">
        <v>132</v>
      </c>
      <c r="AR359" s="6" t="str">
        <f>HYPERLINK("http://catalog.hathitrust.org/Record/001400933","HathiTrust Record")</f>
        <v>HathiTrust Record</v>
      </c>
      <c r="AS359" s="6" t="str">
        <f>HYPERLINK("https://creighton-primo.hosted.exlibrisgroup.com/primo-explore/search?tab=default_tab&amp;search_scope=EVERYTHING&amp;vid=01CRU&amp;lang=en_US&amp;offset=0&amp;query=any,contains,991002671139702656","Catalog Record")</f>
        <v>Catalog Record</v>
      </c>
      <c r="AT359" s="6" t="str">
        <f>HYPERLINK("http://www.worldcat.org/oclc/395168","WorldCat Record")</f>
        <v>WorldCat Record</v>
      </c>
      <c r="AU359" s="3" t="s">
        <v>4616</v>
      </c>
      <c r="AV359" s="3" t="s">
        <v>4617</v>
      </c>
      <c r="AW359" s="3" t="s">
        <v>4618</v>
      </c>
      <c r="AX359" s="3" t="s">
        <v>4618</v>
      </c>
      <c r="AY359" s="3" t="s">
        <v>4619</v>
      </c>
      <c r="AZ359" s="3" t="s">
        <v>75</v>
      </c>
      <c r="BC359" s="3" t="s">
        <v>4620</v>
      </c>
      <c r="BD359" s="3" t="s">
        <v>4621</v>
      </c>
    </row>
    <row r="360" spans="1:56" ht="39" customHeight="1" x14ac:dyDescent="0.25">
      <c r="A360" s="7" t="s">
        <v>58</v>
      </c>
      <c r="B360" s="2" t="s">
        <v>4622</v>
      </c>
      <c r="C360" s="2" t="s">
        <v>4623</v>
      </c>
      <c r="D360" s="2" t="s">
        <v>4624</v>
      </c>
      <c r="F360" s="3" t="s">
        <v>58</v>
      </c>
      <c r="G360" s="3" t="s">
        <v>59</v>
      </c>
      <c r="H360" s="3" t="s">
        <v>58</v>
      </c>
      <c r="I360" s="3" t="s">
        <v>58</v>
      </c>
      <c r="J360" s="3" t="s">
        <v>60</v>
      </c>
      <c r="K360" s="2" t="s">
        <v>4625</v>
      </c>
      <c r="L360" s="2" t="s">
        <v>4626</v>
      </c>
      <c r="M360" s="3" t="s">
        <v>544</v>
      </c>
      <c r="O360" s="3" t="s">
        <v>65</v>
      </c>
      <c r="P360" s="3" t="s">
        <v>186</v>
      </c>
      <c r="Q360" s="2" t="s">
        <v>4627</v>
      </c>
      <c r="R360" s="3" t="s">
        <v>68</v>
      </c>
      <c r="S360" s="4">
        <v>5</v>
      </c>
      <c r="T360" s="4">
        <v>5</v>
      </c>
      <c r="U360" s="5" t="s">
        <v>4628</v>
      </c>
      <c r="V360" s="5" t="s">
        <v>4628</v>
      </c>
      <c r="W360" s="5" t="s">
        <v>4628</v>
      </c>
      <c r="X360" s="5" t="s">
        <v>4628</v>
      </c>
      <c r="Y360" s="4">
        <v>77</v>
      </c>
      <c r="Z360" s="4">
        <v>64</v>
      </c>
      <c r="AA360" s="4">
        <v>66</v>
      </c>
      <c r="AB360" s="4">
        <v>2</v>
      </c>
      <c r="AC360" s="4">
        <v>2</v>
      </c>
      <c r="AD360" s="4">
        <v>5</v>
      </c>
      <c r="AE360" s="4">
        <v>5</v>
      </c>
      <c r="AF360" s="4">
        <v>0</v>
      </c>
      <c r="AG360" s="4">
        <v>0</v>
      </c>
      <c r="AH360" s="4">
        <v>2</v>
      </c>
      <c r="AI360" s="4">
        <v>2</v>
      </c>
      <c r="AJ360" s="4">
        <v>3</v>
      </c>
      <c r="AK360" s="4">
        <v>3</v>
      </c>
      <c r="AL360" s="4">
        <v>1</v>
      </c>
      <c r="AM360" s="4">
        <v>1</v>
      </c>
      <c r="AN360" s="4">
        <v>0</v>
      </c>
      <c r="AO360" s="4">
        <v>0</v>
      </c>
      <c r="AP360" s="3" t="s">
        <v>58</v>
      </c>
      <c r="AQ360" s="3" t="s">
        <v>132</v>
      </c>
      <c r="AR360" s="6" t="str">
        <f>HYPERLINK("http://catalog.hathitrust.org/Record/004069438","HathiTrust Record")</f>
        <v>HathiTrust Record</v>
      </c>
      <c r="AS360" s="6" t="str">
        <f>HYPERLINK("https://creighton-primo.hosted.exlibrisgroup.com/primo-explore/search?tab=default_tab&amp;search_scope=EVERYTHING&amp;vid=01CRU&amp;lang=en_US&amp;offset=0&amp;query=any,contains,991003306829702656","Catalog Record")</f>
        <v>Catalog Record</v>
      </c>
      <c r="AT360" s="6" t="str">
        <f>HYPERLINK("http://www.worldcat.org/oclc/41404341","WorldCat Record")</f>
        <v>WorldCat Record</v>
      </c>
      <c r="AU360" s="3" t="s">
        <v>4629</v>
      </c>
      <c r="AV360" s="3" t="s">
        <v>4630</v>
      </c>
      <c r="AW360" s="3" t="s">
        <v>4631</v>
      </c>
      <c r="AX360" s="3" t="s">
        <v>4631</v>
      </c>
      <c r="AY360" s="3" t="s">
        <v>4632</v>
      </c>
      <c r="AZ360" s="3" t="s">
        <v>75</v>
      </c>
      <c r="BB360" s="3" t="s">
        <v>4633</v>
      </c>
      <c r="BC360" s="3" t="s">
        <v>4634</v>
      </c>
      <c r="BD360" s="3" t="s">
        <v>4635</v>
      </c>
    </row>
    <row r="361" spans="1:56" ht="39" customHeight="1" x14ac:dyDescent="0.25">
      <c r="A361" s="7" t="s">
        <v>58</v>
      </c>
      <c r="B361" s="2" t="s">
        <v>4636</v>
      </c>
      <c r="C361" s="2" t="s">
        <v>4637</v>
      </c>
      <c r="D361" s="2" t="s">
        <v>4638</v>
      </c>
      <c r="F361" s="3" t="s">
        <v>58</v>
      </c>
      <c r="G361" s="3" t="s">
        <v>59</v>
      </c>
      <c r="H361" s="3" t="s">
        <v>58</v>
      </c>
      <c r="I361" s="3" t="s">
        <v>58</v>
      </c>
      <c r="J361" s="3" t="s">
        <v>60</v>
      </c>
      <c r="K361" s="2" t="s">
        <v>4639</v>
      </c>
      <c r="L361" s="2" t="s">
        <v>4640</v>
      </c>
      <c r="M361" s="3" t="s">
        <v>2855</v>
      </c>
      <c r="O361" s="3" t="s">
        <v>65</v>
      </c>
      <c r="P361" s="3" t="s">
        <v>492</v>
      </c>
      <c r="R361" s="3" t="s">
        <v>68</v>
      </c>
      <c r="S361" s="4">
        <v>6</v>
      </c>
      <c r="T361" s="4">
        <v>6</v>
      </c>
      <c r="U361" s="5" t="s">
        <v>4641</v>
      </c>
      <c r="V361" s="5" t="s">
        <v>4641</v>
      </c>
      <c r="W361" s="5" t="s">
        <v>4412</v>
      </c>
      <c r="X361" s="5" t="s">
        <v>4412</v>
      </c>
      <c r="Y361" s="4">
        <v>136</v>
      </c>
      <c r="Z361" s="4">
        <v>116</v>
      </c>
      <c r="AA361" s="4">
        <v>128</v>
      </c>
      <c r="AB361" s="4">
        <v>1</v>
      </c>
      <c r="AC361" s="4">
        <v>2</v>
      </c>
      <c r="AD361" s="4">
        <v>11</v>
      </c>
      <c r="AE361" s="4">
        <v>12</v>
      </c>
      <c r="AF361" s="4">
        <v>2</v>
      </c>
      <c r="AG361" s="4">
        <v>2</v>
      </c>
      <c r="AH361" s="4">
        <v>4</v>
      </c>
      <c r="AI361" s="4">
        <v>4</v>
      </c>
      <c r="AJ361" s="4">
        <v>9</v>
      </c>
      <c r="AK361" s="4">
        <v>9</v>
      </c>
      <c r="AL361" s="4">
        <v>0</v>
      </c>
      <c r="AM361" s="4">
        <v>1</v>
      </c>
      <c r="AN361" s="4">
        <v>0</v>
      </c>
      <c r="AO361" s="4">
        <v>0</v>
      </c>
      <c r="AP361" s="3" t="s">
        <v>132</v>
      </c>
      <c r="AQ361" s="3" t="s">
        <v>58</v>
      </c>
      <c r="AR361" s="6" t="str">
        <f>HYPERLINK("http://catalog.hathitrust.org/Record/001936183","HathiTrust Record")</f>
        <v>HathiTrust Record</v>
      </c>
      <c r="AS361" s="6" t="str">
        <f>HYPERLINK("https://creighton-primo.hosted.exlibrisgroup.com/primo-explore/search?tab=default_tab&amp;search_scope=EVERYTHING&amp;vid=01CRU&amp;lang=en_US&amp;offset=0&amp;query=any,contains,991004843059702656","Catalog Record")</f>
        <v>Catalog Record</v>
      </c>
      <c r="AT361" s="6" t="str">
        <f>HYPERLINK("http://www.worldcat.org/oclc/5524024","WorldCat Record")</f>
        <v>WorldCat Record</v>
      </c>
      <c r="AU361" s="3" t="s">
        <v>4642</v>
      </c>
      <c r="AV361" s="3" t="s">
        <v>4643</v>
      </c>
      <c r="AW361" s="3" t="s">
        <v>4644</v>
      </c>
      <c r="AX361" s="3" t="s">
        <v>4644</v>
      </c>
      <c r="AY361" s="3" t="s">
        <v>4645</v>
      </c>
      <c r="AZ361" s="3" t="s">
        <v>75</v>
      </c>
      <c r="BC361" s="3" t="s">
        <v>4646</v>
      </c>
      <c r="BD361" s="3" t="s">
        <v>4647</v>
      </c>
    </row>
    <row r="362" spans="1:56" ht="39" customHeight="1" x14ac:dyDescent="0.25">
      <c r="A362" s="7" t="s">
        <v>58</v>
      </c>
      <c r="B362" s="2" t="s">
        <v>4648</v>
      </c>
      <c r="C362" s="2" t="s">
        <v>4649</v>
      </c>
      <c r="D362" s="2" t="s">
        <v>4650</v>
      </c>
      <c r="F362" s="3" t="s">
        <v>58</v>
      </c>
      <c r="G362" s="3" t="s">
        <v>59</v>
      </c>
      <c r="H362" s="3" t="s">
        <v>58</v>
      </c>
      <c r="I362" s="3" t="s">
        <v>58</v>
      </c>
      <c r="J362" s="3" t="s">
        <v>60</v>
      </c>
      <c r="K362" s="2" t="s">
        <v>4651</v>
      </c>
      <c r="L362" s="2" t="s">
        <v>4652</v>
      </c>
      <c r="M362" s="3" t="s">
        <v>4653</v>
      </c>
      <c r="O362" s="3" t="s">
        <v>65</v>
      </c>
      <c r="P362" s="3" t="s">
        <v>492</v>
      </c>
      <c r="R362" s="3" t="s">
        <v>68</v>
      </c>
      <c r="S362" s="4">
        <v>3</v>
      </c>
      <c r="T362" s="4">
        <v>3</v>
      </c>
      <c r="U362" s="5" t="s">
        <v>4654</v>
      </c>
      <c r="V362" s="5" t="s">
        <v>4654</v>
      </c>
      <c r="W362" s="5" t="s">
        <v>4412</v>
      </c>
      <c r="X362" s="5" t="s">
        <v>4412</v>
      </c>
      <c r="Y362" s="4">
        <v>148</v>
      </c>
      <c r="Z362" s="4">
        <v>133</v>
      </c>
      <c r="AA362" s="4">
        <v>135</v>
      </c>
      <c r="AB362" s="4">
        <v>1</v>
      </c>
      <c r="AC362" s="4">
        <v>1</v>
      </c>
      <c r="AD362" s="4">
        <v>12</v>
      </c>
      <c r="AE362" s="4">
        <v>12</v>
      </c>
      <c r="AF362" s="4">
        <v>3</v>
      </c>
      <c r="AG362" s="4">
        <v>3</v>
      </c>
      <c r="AH362" s="4">
        <v>1</v>
      </c>
      <c r="AI362" s="4">
        <v>1</v>
      </c>
      <c r="AJ362" s="4">
        <v>10</v>
      </c>
      <c r="AK362" s="4">
        <v>10</v>
      </c>
      <c r="AL362" s="4">
        <v>0</v>
      </c>
      <c r="AM362" s="4">
        <v>0</v>
      </c>
      <c r="AN362" s="4">
        <v>0</v>
      </c>
      <c r="AO362" s="4">
        <v>0</v>
      </c>
      <c r="AP362" s="3" t="s">
        <v>58</v>
      </c>
      <c r="AQ362" s="3" t="s">
        <v>132</v>
      </c>
      <c r="AR362" s="6" t="str">
        <f>HYPERLINK("http://catalog.hathitrust.org/Record/001576038","HathiTrust Record")</f>
        <v>HathiTrust Record</v>
      </c>
      <c r="AS362" s="6" t="str">
        <f>HYPERLINK("https://creighton-primo.hosted.exlibrisgroup.com/primo-explore/search?tab=default_tab&amp;search_scope=EVERYTHING&amp;vid=01CRU&amp;lang=en_US&amp;offset=0&amp;query=any,contains,991004609499702656","Catalog Record")</f>
        <v>Catalog Record</v>
      </c>
      <c r="AT362" s="6" t="str">
        <f>HYPERLINK("http://www.worldcat.org/oclc/4208892","WorldCat Record")</f>
        <v>WorldCat Record</v>
      </c>
      <c r="AU362" s="3" t="s">
        <v>4655</v>
      </c>
      <c r="AV362" s="3" t="s">
        <v>4656</v>
      </c>
      <c r="AW362" s="3" t="s">
        <v>4657</v>
      </c>
      <c r="AX362" s="3" t="s">
        <v>4657</v>
      </c>
      <c r="AY362" s="3" t="s">
        <v>4658</v>
      </c>
      <c r="AZ362" s="3" t="s">
        <v>75</v>
      </c>
      <c r="BC362" s="3" t="s">
        <v>4659</v>
      </c>
      <c r="BD362" s="3" t="s">
        <v>4660</v>
      </c>
    </row>
    <row r="363" spans="1:56" ht="39" customHeight="1" x14ac:dyDescent="0.25">
      <c r="A363" s="7" t="s">
        <v>58</v>
      </c>
      <c r="B363" s="2" t="s">
        <v>4661</v>
      </c>
      <c r="C363" s="2" t="s">
        <v>4662</v>
      </c>
      <c r="D363" s="2" t="s">
        <v>4663</v>
      </c>
      <c r="F363" s="3" t="s">
        <v>58</v>
      </c>
      <c r="G363" s="3" t="s">
        <v>59</v>
      </c>
      <c r="H363" s="3" t="s">
        <v>58</v>
      </c>
      <c r="I363" s="3" t="s">
        <v>58</v>
      </c>
      <c r="J363" s="3" t="s">
        <v>60</v>
      </c>
      <c r="K363" s="2" t="s">
        <v>4664</v>
      </c>
      <c r="L363" s="2" t="s">
        <v>4665</v>
      </c>
      <c r="M363" s="3" t="s">
        <v>831</v>
      </c>
      <c r="O363" s="3" t="s">
        <v>65</v>
      </c>
      <c r="P363" s="3" t="s">
        <v>492</v>
      </c>
      <c r="R363" s="3" t="s">
        <v>68</v>
      </c>
      <c r="S363" s="4">
        <v>2</v>
      </c>
      <c r="T363" s="4">
        <v>2</v>
      </c>
      <c r="U363" s="5" t="s">
        <v>4666</v>
      </c>
      <c r="V363" s="5" t="s">
        <v>4666</v>
      </c>
      <c r="W363" s="5" t="s">
        <v>1165</v>
      </c>
      <c r="X363" s="5" t="s">
        <v>1165</v>
      </c>
      <c r="Y363" s="4">
        <v>62</v>
      </c>
      <c r="Z363" s="4">
        <v>60</v>
      </c>
      <c r="AA363" s="4">
        <v>60</v>
      </c>
      <c r="AB363" s="4">
        <v>1</v>
      </c>
      <c r="AC363" s="4">
        <v>1</v>
      </c>
      <c r="AD363" s="4">
        <v>13</v>
      </c>
      <c r="AE363" s="4">
        <v>13</v>
      </c>
      <c r="AF363" s="4">
        <v>1</v>
      </c>
      <c r="AG363" s="4">
        <v>1</v>
      </c>
      <c r="AH363" s="4">
        <v>3</v>
      </c>
      <c r="AI363" s="4">
        <v>3</v>
      </c>
      <c r="AJ363" s="4">
        <v>11</v>
      </c>
      <c r="AK363" s="4">
        <v>11</v>
      </c>
      <c r="AL363" s="4">
        <v>0</v>
      </c>
      <c r="AM363" s="4">
        <v>0</v>
      </c>
      <c r="AN363" s="4">
        <v>0</v>
      </c>
      <c r="AO363" s="4">
        <v>0</v>
      </c>
      <c r="AP363" s="3" t="s">
        <v>58</v>
      </c>
      <c r="AQ363" s="3" t="s">
        <v>58</v>
      </c>
      <c r="AS363" s="6" t="str">
        <f>HYPERLINK("https://creighton-primo.hosted.exlibrisgroup.com/primo-explore/search?tab=default_tab&amp;search_scope=EVERYTHING&amp;vid=01CRU&amp;lang=en_US&amp;offset=0&amp;query=any,contains,991003482609702656","Catalog Record")</f>
        <v>Catalog Record</v>
      </c>
      <c r="AT363" s="6" t="str">
        <f>HYPERLINK("http://www.worldcat.org/oclc/1030198","WorldCat Record")</f>
        <v>WorldCat Record</v>
      </c>
      <c r="AU363" s="3" t="s">
        <v>4667</v>
      </c>
      <c r="AV363" s="3" t="s">
        <v>4668</v>
      </c>
      <c r="AW363" s="3" t="s">
        <v>4669</v>
      </c>
      <c r="AX363" s="3" t="s">
        <v>4669</v>
      </c>
      <c r="AY363" s="3" t="s">
        <v>4670</v>
      </c>
      <c r="AZ363" s="3" t="s">
        <v>75</v>
      </c>
      <c r="BC363" s="3" t="s">
        <v>4671</v>
      </c>
      <c r="BD363" s="3" t="s">
        <v>4672</v>
      </c>
    </row>
    <row r="364" spans="1:56" ht="39" customHeight="1" x14ac:dyDescent="0.25">
      <c r="A364" s="7" t="s">
        <v>58</v>
      </c>
      <c r="B364" s="2" t="s">
        <v>4673</v>
      </c>
      <c r="C364" s="2" t="s">
        <v>4674</v>
      </c>
      <c r="D364" s="2" t="s">
        <v>4675</v>
      </c>
      <c r="E364" s="3" t="s">
        <v>3406</v>
      </c>
      <c r="F364" s="3" t="s">
        <v>132</v>
      </c>
      <c r="G364" s="3" t="s">
        <v>59</v>
      </c>
      <c r="H364" s="3" t="s">
        <v>58</v>
      </c>
      <c r="I364" s="3" t="s">
        <v>58</v>
      </c>
      <c r="J364" s="3" t="s">
        <v>60</v>
      </c>
      <c r="K364" s="2" t="s">
        <v>4676</v>
      </c>
      <c r="L364" s="2" t="s">
        <v>4677</v>
      </c>
      <c r="M364" s="3" t="s">
        <v>682</v>
      </c>
      <c r="O364" s="3" t="s">
        <v>65</v>
      </c>
      <c r="P364" s="3" t="s">
        <v>477</v>
      </c>
      <c r="Q364" s="2" t="s">
        <v>4678</v>
      </c>
      <c r="R364" s="3" t="s">
        <v>68</v>
      </c>
      <c r="S364" s="4">
        <v>2</v>
      </c>
      <c r="T364" s="4">
        <v>4</v>
      </c>
      <c r="U364" s="5" t="s">
        <v>4679</v>
      </c>
      <c r="V364" s="5" t="s">
        <v>4679</v>
      </c>
      <c r="W364" s="5" t="s">
        <v>4412</v>
      </c>
      <c r="X364" s="5" t="s">
        <v>4412</v>
      </c>
      <c r="Y364" s="4">
        <v>580</v>
      </c>
      <c r="Z364" s="4">
        <v>559</v>
      </c>
      <c r="AA364" s="4">
        <v>628</v>
      </c>
      <c r="AB364" s="4">
        <v>7</v>
      </c>
      <c r="AC364" s="4">
        <v>7</v>
      </c>
      <c r="AD364" s="4">
        <v>17</v>
      </c>
      <c r="AE364" s="4">
        <v>20</v>
      </c>
      <c r="AF364" s="4">
        <v>4</v>
      </c>
      <c r="AG364" s="4">
        <v>6</v>
      </c>
      <c r="AH364" s="4">
        <v>2</v>
      </c>
      <c r="AI364" s="4">
        <v>4</v>
      </c>
      <c r="AJ364" s="4">
        <v>8</v>
      </c>
      <c r="AK364" s="4">
        <v>8</v>
      </c>
      <c r="AL364" s="4">
        <v>5</v>
      </c>
      <c r="AM364" s="4">
        <v>5</v>
      </c>
      <c r="AN364" s="4">
        <v>0</v>
      </c>
      <c r="AO364" s="4">
        <v>0</v>
      </c>
      <c r="AP364" s="3" t="s">
        <v>132</v>
      </c>
      <c r="AQ364" s="3" t="s">
        <v>132</v>
      </c>
      <c r="AR364" s="6" t="str">
        <f>HYPERLINK("http://catalog.hathitrust.org/Record/000277910","HathiTrust Record")</f>
        <v>HathiTrust Record</v>
      </c>
      <c r="AS364" s="6" t="str">
        <f>HYPERLINK("https://creighton-primo.hosted.exlibrisgroup.com/primo-explore/search?tab=default_tab&amp;search_scope=EVERYTHING&amp;vid=01CRU&amp;lang=en_US&amp;offset=0&amp;query=any,contains,991003368679702656","Catalog Record")</f>
        <v>Catalog Record</v>
      </c>
      <c r="AT364" s="6" t="str">
        <f>HYPERLINK("http://www.worldcat.org/oclc/904461","WorldCat Record")</f>
        <v>WorldCat Record</v>
      </c>
      <c r="AU364" s="3" t="s">
        <v>4680</v>
      </c>
      <c r="AV364" s="3" t="s">
        <v>4681</v>
      </c>
      <c r="AW364" s="3" t="s">
        <v>4682</v>
      </c>
      <c r="AX364" s="3" t="s">
        <v>4682</v>
      </c>
      <c r="AY364" s="3" t="s">
        <v>4683</v>
      </c>
      <c r="AZ364" s="3" t="s">
        <v>75</v>
      </c>
      <c r="BC364" s="3" t="s">
        <v>4684</v>
      </c>
      <c r="BD364" s="3" t="s">
        <v>4685</v>
      </c>
    </row>
    <row r="365" spans="1:56" ht="39" customHeight="1" x14ac:dyDescent="0.25">
      <c r="A365" s="7" t="s">
        <v>58</v>
      </c>
      <c r="B365" s="2" t="s">
        <v>4673</v>
      </c>
      <c r="C365" s="2" t="s">
        <v>4674</v>
      </c>
      <c r="D365" s="2" t="s">
        <v>4675</v>
      </c>
      <c r="E365" s="3" t="s">
        <v>3418</v>
      </c>
      <c r="F365" s="3" t="s">
        <v>132</v>
      </c>
      <c r="G365" s="3" t="s">
        <v>59</v>
      </c>
      <c r="H365" s="3" t="s">
        <v>58</v>
      </c>
      <c r="I365" s="3" t="s">
        <v>58</v>
      </c>
      <c r="J365" s="3" t="s">
        <v>60</v>
      </c>
      <c r="K365" s="2" t="s">
        <v>4676</v>
      </c>
      <c r="L365" s="2" t="s">
        <v>4677</v>
      </c>
      <c r="M365" s="3" t="s">
        <v>682</v>
      </c>
      <c r="O365" s="3" t="s">
        <v>65</v>
      </c>
      <c r="P365" s="3" t="s">
        <v>477</v>
      </c>
      <c r="Q365" s="2" t="s">
        <v>4678</v>
      </c>
      <c r="R365" s="3" t="s">
        <v>68</v>
      </c>
      <c r="S365" s="4">
        <v>1</v>
      </c>
      <c r="T365" s="4">
        <v>4</v>
      </c>
      <c r="V365" s="5" t="s">
        <v>4679</v>
      </c>
      <c r="W365" s="5" t="s">
        <v>4412</v>
      </c>
      <c r="X365" s="5" t="s">
        <v>4412</v>
      </c>
      <c r="Y365" s="4">
        <v>580</v>
      </c>
      <c r="Z365" s="4">
        <v>559</v>
      </c>
      <c r="AA365" s="4">
        <v>628</v>
      </c>
      <c r="AB365" s="4">
        <v>7</v>
      </c>
      <c r="AC365" s="4">
        <v>7</v>
      </c>
      <c r="AD365" s="4">
        <v>17</v>
      </c>
      <c r="AE365" s="4">
        <v>20</v>
      </c>
      <c r="AF365" s="4">
        <v>4</v>
      </c>
      <c r="AG365" s="4">
        <v>6</v>
      </c>
      <c r="AH365" s="4">
        <v>2</v>
      </c>
      <c r="AI365" s="4">
        <v>4</v>
      </c>
      <c r="AJ365" s="4">
        <v>8</v>
      </c>
      <c r="AK365" s="4">
        <v>8</v>
      </c>
      <c r="AL365" s="4">
        <v>5</v>
      </c>
      <c r="AM365" s="4">
        <v>5</v>
      </c>
      <c r="AN365" s="4">
        <v>0</v>
      </c>
      <c r="AO365" s="4">
        <v>0</v>
      </c>
      <c r="AP365" s="3" t="s">
        <v>132</v>
      </c>
      <c r="AQ365" s="3" t="s">
        <v>132</v>
      </c>
      <c r="AR365" s="6" t="str">
        <f>HYPERLINK("http://catalog.hathitrust.org/Record/000277910","HathiTrust Record")</f>
        <v>HathiTrust Record</v>
      </c>
      <c r="AS365" s="6" t="str">
        <f>HYPERLINK("https://creighton-primo.hosted.exlibrisgroup.com/primo-explore/search?tab=default_tab&amp;search_scope=EVERYTHING&amp;vid=01CRU&amp;lang=en_US&amp;offset=0&amp;query=any,contains,991003368679702656","Catalog Record")</f>
        <v>Catalog Record</v>
      </c>
      <c r="AT365" s="6" t="str">
        <f>HYPERLINK("http://www.worldcat.org/oclc/904461","WorldCat Record")</f>
        <v>WorldCat Record</v>
      </c>
      <c r="AU365" s="3" t="s">
        <v>4680</v>
      </c>
      <c r="AV365" s="3" t="s">
        <v>4681</v>
      </c>
      <c r="AW365" s="3" t="s">
        <v>4682</v>
      </c>
      <c r="AX365" s="3" t="s">
        <v>4682</v>
      </c>
      <c r="AY365" s="3" t="s">
        <v>4683</v>
      </c>
      <c r="AZ365" s="3" t="s">
        <v>75</v>
      </c>
      <c r="BC365" s="3" t="s">
        <v>4686</v>
      </c>
      <c r="BD365" s="3" t="s">
        <v>4687</v>
      </c>
    </row>
    <row r="366" spans="1:56" ht="39" customHeight="1" x14ac:dyDescent="0.25">
      <c r="A366" s="7" t="s">
        <v>58</v>
      </c>
      <c r="B366" s="2" t="s">
        <v>4673</v>
      </c>
      <c r="C366" s="2" t="s">
        <v>4674</v>
      </c>
      <c r="D366" s="2" t="s">
        <v>4675</v>
      </c>
      <c r="E366" s="3" t="s">
        <v>3421</v>
      </c>
      <c r="F366" s="3" t="s">
        <v>132</v>
      </c>
      <c r="G366" s="3" t="s">
        <v>59</v>
      </c>
      <c r="H366" s="3" t="s">
        <v>58</v>
      </c>
      <c r="I366" s="3" t="s">
        <v>58</v>
      </c>
      <c r="J366" s="3" t="s">
        <v>60</v>
      </c>
      <c r="K366" s="2" t="s">
        <v>4676</v>
      </c>
      <c r="L366" s="2" t="s">
        <v>4677</v>
      </c>
      <c r="M366" s="3" t="s">
        <v>682</v>
      </c>
      <c r="O366" s="3" t="s">
        <v>65</v>
      </c>
      <c r="P366" s="3" t="s">
        <v>477</v>
      </c>
      <c r="Q366" s="2" t="s">
        <v>4678</v>
      </c>
      <c r="R366" s="3" t="s">
        <v>68</v>
      </c>
      <c r="S366" s="4">
        <v>1</v>
      </c>
      <c r="T366" s="4">
        <v>4</v>
      </c>
      <c r="V366" s="5" t="s">
        <v>4679</v>
      </c>
      <c r="W366" s="5" t="s">
        <v>4412</v>
      </c>
      <c r="X366" s="5" t="s">
        <v>4412</v>
      </c>
      <c r="Y366" s="4">
        <v>580</v>
      </c>
      <c r="Z366" s="4">
        <v>559</v>
      </c>
      <c r="AA366" s="4">
        <v>628</v>
      </c>
      <c r="AB366" s="4">
        <v>7</v>
      </c>
      <c r="AC366" s="4">
        <v>7</v>
      </c>
      <c r="AD366" s="4">
        <v>17</v>
      </c>
      <c r="AE366" s="4">
        <v>20</v>
      </c>
      <c r="AF366" s="4">
        <v>4</v>
      </c>
      <c r="AG366" s="4">
        <v>6</v>
      </c>
      <c r="AH366" s="4">
        <v>2</v>
      </c>
      <c r="AI366" s="4">
        <v>4</v>
      </c>
      <c r="AJ366" s="4">
        <v>8</v>
      </c>
      <c r="AK366" s="4">
        <v>8</v>
      </c>
      <c r="AL366" s="4">
        <v>5</v>
      </c>
      <c r="AM366" s="4">
        <v>5</v>
      </c>
      <c r="AN366" s="4">
        <v>0</v>
      </c>
      <c r="AO366" s="4">
        <v>0</v>
      </c>
      <c r="AP366" s="3" t="s">
        <v>132</v>
      </c>
      <c r="AQ366" s="3" t="s">
        <v>132</v>
      </c>
      <c r="AR366" s="6" t="str">
        <f>HYPERLINK("http://catalog.hathitrust.org/Record/000277910","HathiTrust Record")</f>
        <v>HathiTrust Record</v>
      </c>
      <c r="AS366" s="6" t="str">
        <f>HYPERLINK("https://creighton-primo.hosted.exlibrisgroup.com/primo-explore/search?tab=default_tab&amp;search_scope=EVERYTHING&amp;vid=01CRU&amp;lang=en_US&amp;offset=0&amp;query=any,contains,991003368679702656","Catalog Record")</f>
        <v>Catalog Record</v>
      </c>
      <c r="AT366" s="6" t="str">
        <f>HYPERLINK("http://www.worldcat.org/oclc/904461","WorldCat Record")</f>
        <v>WorldCat Record</v>
      </c>
      <c r="AU366" s="3" t="s">
        <v>4680</v>
      </c>
      <c r="AV366" s="3" t="s">
        <v>4681</v>
      </c>
      <c r="AW366" s="3" t="s">
        <v>4682</v>
      </c>
      <c r="AX366" s="3" t="s">
        <v>4682</v>
      </c>
      <c r="AY366" s="3" t="s">
        <v>4683</v>
      </c>
      <c r="AZ366" s="3" t="s">
        <v>75</v>
      </c>
      <c r="BC366" s="3" t="s">
        <v>4688</v>
      </c>
      <c r="BD366" s="3" t="s">
        <v>4689</v>
      </c>
    </row>
    <row r="367" spans="1:56" ht="39" customHeight="1" x14ac:dyDescent="0.25">
      <c r="A367" s="7" t="s">
        <v>58</v>
      </c>
      <c r="B367" s="2" t="s">
        <v>4690</v>
      </c>
      <c r="C367" s="2" t="s">
        <v>4691</v>
      </c>
      <c r="D367" s="2" t="s">
        <v>4692</v>
      </c>
      <c r="F367" s="3" t="s">
        <v>58</v>
      </c>
      <c r="G367" s="3" t="s">
        <v>59</v>
      </c>
      <c r="H367" s="3" t="s">
        <v>58</v>
      </c>
      <c r="I367" s="3" t="s">
        <v>58</v>
      </c>
      <c r="J367" s="3" t="s">
        <v>60</v>
      </c>
      <c r="K367" s="2" t="s">
        <v>4693</v>
      </c>
      <c r="L367" s="2" t="s">
        <v>4694</v>
      </c>
      <c r="M367" s="3" t="s">
        <v>215</v>
      </c>
      <c r="O367" s="3" t="s">
        <v>65</v>
      </c>
      <c r="P367" s="3" t="s">
        <v>201</v>
      </c>
      <c r="R367" s="3" t="s">
        <v>68</v>
      </c>
      <c r="S367" s="4">
        <v>2</v>
      </c>
      <c r="T367" s="4">
        <v>2</v>
      </c>
      <c r="U367" s="5" t="s">
        <v>4695</v>
      </c>
      <c r="V367" s="5" t="s">
        <v>4695</v>
      </c>
      <c r="W367" s="5" t="s">
        <v>4696</v>
      </c>
      <c r="X367" s="5" t="s">
        <v>4696</v>
      </c>
      <c r="Y367" s="4">
        <v>499</v>
      </c>
      <c r="Z367" s="4">
        <v>453</v>
      </c>
      <c r="AA367" s="4">
        <v>459</v>
      </c>
      <c r="AB367" s="4">
        <v>6</v>
      </c>
      <c r="AC367" s="4">
        <v>6</v>
      </c>
      <c r="AD367" s="4">
        <v>28</v>
      </c>
      <c r="AE367" s="4">
        <v>28</v>
      </c>
      <c r="AF367" s="4">
        <v>10</v>
      </c>
      <c r="AG367" s="4">
        <v>10</v>
      </c>
      <c r="AH367" s="4">
        <v>6</v>
      </c>
      <c r="AI367" s="4">
        <v>6</v>
      </c>
      <c r="AJ367" s="4">
        <v>12</v>
      </c>
      <c r="AK367" s="4">
        <v>12</v>
      </c>
      <c r="AL367" s="4">
        <v>4</v>
      </c>
      <c r="AM367" s="4">
        <v>4</v>
      </c>
      <c r="AN367" s="4">
        <v>0</v>
      </c>
      <c r="AO367" s="4">
        <v>0</v>
      </c>
      <c r="AP367" s="3" t="s">
        <v>58</v>
      </c>
      <c r="AQ367" s="3" t="s">
        <v>58</v>
      </c>
      <c r="AS367" s="6" t="str">
        <f>HYPERLINK("https://creighton-primo.hosted.exlibrisgroup.com/primo-explore/search?tab=default_tab&amp;search_scope=EVERYTHING&amp;vid=01CRU&amp;lang=en_US&amp;offset=0&amp;query=any,contains,991001108339702656","Catalog Record")</f>
        <v>Catalog Record</v>
      </c>
      <c r="AT367" s="6" t="str">
        <f>HYPERLINK("http://www.worldcat.org/oclc/16411076","WorldCat Record")</f>
        <v>WorldCat Record</v>
      </c>
      <c r="AU367" s="3" t="s">
        <v>4697</v>
      </c>
      <c r="AV367" s="3" t="s">
        <v>4698</v>
      </c>
      <c r="AW367" s="3" t="s">
        <v>4699</v>
      </c>
      <c r="AX367" s="3" t="s">
        <v>4699</v>
      </c>
      <c r="AY367" s="3" t="s">
        <v>4700</v>
      </c>
      <c r="AZ367" s="3" t="s">
        <v>75</v>
      </c>
      <c r="BB367" s="3" t="s">
        <v>4701</v>
      </c>
      <c r="BC367" s="3" t="s">
        <v>4702</v>
      </c>
      <c r="BD367" s="3" t="s">
        <v>4703</v>
      </c>
    </row>
    <row r="368" spans="1:56" ht="39" customHeight="1" x14ac:dyDescent="0.25">
      <c r="A368" s="7" t="s">
        <v>58</v>
      </c>
      <c r="B368" s="2" t="s">
        <v>4704</v>
      </c>
      <c r="C368" s="2" t="s">
        <v>4705</v>
      </c>
      <c r="D368" s="2" t="s">
        <v>4706</v>
      </c>
      <c r="F368" s="3" t="s">
        <v>58</v>
      </c>
      <c r="G368" s="3" t="s">
        <v>59</v>
      </c>
      <c r="H368" s="3" t="s">
        <v>58</v>
      </c>
      <c r="I368" s="3" t="s">
        <v>58</v>
      </c>
      <c r="J368" s="3" t="s">
        <v>60</v>
      </c>
      <c r="K368" s="2" t="s">
        <v>4707</v>
      </c>
      <c r="L368" s="2" t="s">
        <v>4708</v>
      </c>
      <c r="M368" s="3" t="s">
        <v>759</v>
      </c>
      <c r="N368" s="2" t="s">
        <v>476</v>
      </c>
      <c r="O368" s="3" t="s">
        <v>65</v>
      </c>
      <c r="P368" s="3" t="s">
        <v>186</v>
      </c>
      <c r="R368" s="3" t="s">
        <v>68</v>
      </c>
      <c r="S368" s="4">
        <v>7</v>
      </c>
      <c r="T368" s="4">
        <v>7</v>
      </c>
      <c r="U368" s="5" t="s">
        <v>4709</v>
      </c>
      <c r="V368" s="5" t="s">
        <v>4709</v>
      </c>
      <c r="W368" s="5" t="s">
        <v>4710</v>
      </c>
      <c r="X368" s="5" t="s">
        <v>4710</v>
      </c>
      <c r="Y368" s="4">
        <v>432</v>
      </c>
      <c r="Z368" s="4">
        <v>399</v>
      </c>
      <c r="AA368" s="4">
        <v>408</v>
      </c>
      <c r="AB368" s="4">
        <v>4</v>
      </c>
      <c r="AC368" s="4">
        <v>4</v>
      </c>
      <c r="AD368" s="4">
        <v>14</v>
      </c>
      <c r="AE368" s="4">
        <v>14</v>
      </c>
      <c r="AF368" s="4">
        <v>5</v>
      </c>
      <c r="AG368" s="4">
        <v>5</v>
      </c>
      <c r="AH368" s="4">
        <v>2</v>
      </c>
      <c r="AI368" s="4">
        <v>2</v>
      </c>
      <c r="AJ368" s="4">
        <v>7</v>
      </c>
      <c r="AK368" s="4">
        <v>7</v>
      </c>
      <c r="AL368" s="4">
        <v>2</v>
      </c>
      <c r="AM368" s="4">
        <v>2</v>
      </c>
      <c r="AN368" s="4">
        <v>0</v>
      </c>
      <c r="AO368" s="4">
        <v>0</v>
      </c>
      <c r="AP368" s="3" t="s">
        <v>58</v>
      </c>
      <c r="AQ368" s="3" t="s">
        <v>58</v>
      </c>
      <c r="AS368" s="6" t="str">
        <f>HYPERLINK("https://creighton-primo.hosted.exlibrisgroup.com/primo-explore/search?tab=default_tab&amp;search_scope=EVERYTHING&amp;vid=01CRU&amp;lang=en_US&amp;offset=0&amp;query=any,contains,991000991339702656","Catalog Record")</f>
        <v>Catalog Record</v>
      </c>
      <c r="AT368" s="6" t="str">
        <f>HYPERLINK("http://www.worldcat.org/oclc/15108150","WorldCat Record")</f>
        <v>WorldCat Record</v>
      </c>
      <c r="AU368" s="3" t="s">
        <v>4711</v>
      </c>
      <c r="AV368" s="3" t="s">
        <v>4712</v>
      </c>
      <c r="AW368" s="3" t="s">
        <v>4713</v>
      </c>
      <c r="AX368" s="3" t="s">
        <v>4713</v>
      </c>
      <c r="AY368" s="3" t="s">
        <v>4714</v>
      </c>
      <c r="AZ368" s="3" t="s">
        <v>75</v>
      </c>
      <c r="BB368" s="3" t="s">
        <v>4715</v>
      </c>
      <c r="BC368" s="3" t="s">
        <v>4716</v>
      </c>
      <c r="BD368" s="3" t="s">
        <v>4717</v>
      </c>
    </row>
    <row r="369" spans="1:56" ht="39" customHeight="1" x14ac:dyDescent="0.25">
      <c r="A369" s="7" t="s">
        <v>58</v>
      </c>
      <c r="B369" s="2" t="s">
        <v>4718</v>
      </c>
      <c r="C369" s="2" t="s">
        <v>4719</v>
      </c>
      <c r="D369" s="2" t="s">
        <v>4720</v>
      </c>
      <c r="F369" s="3" t="s">
        <v>58</v>
      </c>
      <c r="G369" s="3" t="s">
        <v>59</v>
      </c>
      <c r="H369" s="3" t="s">
        <v>58</v>
      </c>
      <c r="I369" s="3" t="s">
        <v>58</v>
      </c>
      <c r="J369" s="3" t="s">
        <v>60</v>
      </c>
      <c r="K369" s="2" t="s">
        <v>4721</v>
      </c>
      <c r="L369" s="2" t="s">
        <v>4722</v>
      </c>
      <c r="M369" s="3" t="s">
        <v>709</v>
      </c>
      <c r="O369" s="3" t="s">
        <v>65</v>
      </c>
      <c r="P369" s="3" t="s">
        <v>66</v>
      </c>
      <c r="R369" s="3" t="s">
        <v>68</v>
      </c>
      <c r="S369" s="4">
        <v>5</v>
      </c>
      <c r="T369" s="4">
        <v>5</v>
      </c>
      <c r="U369" s="5" t="s">
        <v>4723</v>
      </c>
      <c r="V369" s="5" t="s">
        <v>4723</v>
      </c>
      <c r="W369" s="5" t="s">
        <v>4724</v>
      </c>
      <c r="X369" s="5" t="s">
        <v>4724</v>
      </c>
      <c r="Y369" s="4">
        <v>376</v>
      </c>
      <c r="Z369" s="4">
        <v>250</v>
      </c>
      <c r="AA369" s="4">
        <v>274</v>
      </c>
      <c r="AB369" s="4">
        <v>2</v>
      </c>
      <c r="AC369" s="4">
        <v>2</v>
      </c>
      <c r="AD369" s="4">
        <v>12</v>
      </c>
      <c r="AE369" s="4">
        <v>12</v>
      </c>
      <c r="AF369" s="4">
        <v>2</v>
      </c>
      <c r="AG369" s="4">
        <v>2</v>
      </c>
      <c r="AH369" s="4">
        <v>4</v>
      </c>
      <c r="AI369" s="4">
        <v>4</v>
      </c>
      <c r="AJ369" s="4">
        <v>7</v>
      </c>
      <c r="AK369" s="4">
        <v>7</v>
      </c>
      <c r="AL369" s="4">
        <v>1</v>
      </c>
      <c r="AM369" s="4">
        <v>1</v>
      </c>
      <c r="AN369" s="4">
        <v>0</v>
      </c>
      <c r="AO369" s="4">
        <v>0</v>
      </c>
      <c r="AP369" s="3" t="s">
        <v>58</v>
      </c>
      <c r="AQ369" s="3" t="s">
        <v>58</v>
      </c>
      <c r="AS369" s="6" t="str">
        <f>HYPERLINK("https://creighton-primo.hosted.exlibrisgroup.com/primo-explore/search?tab=default_tab&amp;search_scope=EVERYTHING&amp;vid=01CRU&amp;lang=en_US&amp;offset=0&amp;query=any,contains,991001555909702656","Catalog Record")</f>
        <v>Catalog Record</v>
      </c>
      <c r="AT369" s="6" t="str">
        <f>HYPERLINK("http://www.worldcat.org/oclc/20264046","WorldCat Record")</f>
        <v>WorldCat Record</v>
      </c>
      <c r="AU369" s="3" t="s">
        <v>4725</v>
      </c>
      <c r="AV369" s="3" t="s">
        <v>4726</v>
      </c>
      <c r="AW369" s="3" t="s">
        <v>4727</v>
      </c>
      <c r="AX369" s="3" t="s">
        <v>4727</v>
      </c>
      <c r="AY369" s="3" t="s">
        <v>4728</v>
      </c>
      <c r="AZ369" s="3" t="s">
        <v>75</v>
      </c>
      <c r="BB369" s="3" t="s">
        <v>4729</v>
      </c>
      <c r="BC369" s="3" t="s">
        <v>4730</v>
      </c>
      <c r="BD369" s="3" t="s">
        <v>4731</v>
      </c>
    </row>
    <row r="370" spans="1:56" ht="39" customHeight="1" x14ac:dyDescent="0.25">
      <c r="A370" s="7" t="s">
        <v>58</v>
      </c>
      <c r="B370" s="2" t="s">
        <v>4732</v>
      </c>
      <c r="C370" s="2" t="s">
        <v>4733</v>
      </c>
      <c r="D370" s="2" t="s">
        <v>4734</v>
      </c>
      <c r="F370" s="3" t="s">
        <v>58</v>
      </c>
      <c r="G370" s="3" t="s">
        <v>59</v>
      </c>
      <c r="H370" s="3" t="s">
        <v>58</v>
      </c>
      <c r="I370" s="3" t="s">
        <v>58</v>
      </c>
      <c r="J370" s="3" t="s">
        <v>60</v>
      </c>
      <c r="K370" s="2" t="s">
        <v>4735</v>
      </c>
      <c r="L370" s="2" t="s">
        <v>4736</v>
      </c>
      <c r="M370" s="3" t="s">
        <v>631</v>
      </c>
      <c r="O370" s="3" t="s">
        <v>65</v>
      </c>
      <c r="P370" s="3" t="s">
        <v>304</v>
      </c>
      <c r="R370" s="3" t="s">
        <v>68</v>
      </c>
      <c r="S370" s="4">
        <v>2</v>
      </c>
      <c r="T370" s="4">
        <v>2</v>
      </c>
      <c r="U370" s="5" t="s">
        <v>4737</v>
      </c>
      <c r="V370" s="5" t="s">
        <v>4737</v>
      </c>
      <c r="W370" s="5" t="s">
        <v>4696</v>
      </c>
      <c r="X370" s="5" t="s">
        <v>4696</v>
      </c>
      <c r="Y370" s="4">
        <v>1225</v>
      </c>
      <c r="Z370" s="4">
        <v>1125</v>
      </c>
      <c r="AA370" s="4">
        <v>1175</v>
      </c>
      <c r="AB370" s="4">
        <v>7</v>
      </c>
      <c r="AC370" s="4">
        <v>7</v>
      </c>
      <c r="AD370" s="4">
        <v>45</v>
      </c>
      <c r="AE370" s="4">
        <v>46</v>
      </c>
      <c r="AF370" s="4">
        <v>20</v>
      </c>
      <c r="AG370" s="4">
        <v>21</v>
      </c>
      <c r="AH370" s="4">
        <v>7</v>
      </c>
      <c r="AI370" s="4">
        <v>8</v>
      </c>
      <c r="AJ370" s="4">
        <v>22</v>
      </c>
      <c r="AK370" s="4">
        <v>22</v>
      </c>
      <c r="AL370" s="4">
        <v>6</v>
      </c>
      <c r="AM370" s="4">
        <v>6</v>
      </c>
      <c r="AN370" s="4">
        <v>0</v>
      </c>
      <c r="AO370" s="4">
        <v>0</v>
      </c>
      <c r="AP370" s="3" t="s">
        <v>58</v>
      </c>
      <c r="AQ370" s="3" t="s">
        <v>58</v>
      </c>
      <c r="AS370" s="6" t="str">
        <f>HYPERLINK("https://creighton-primo.hosted.exlibrisgroup.com/primo-explore/search?tab=default_tab&amp;search_scope=EVERYTHING&amp;vid=01CRU&amp;lang=en_US&amp;offset=0&amp;query=any,contains,991003704359702656","Catalog Record")</f>
        <v>Catalog Record</v>
      </c>
      <c r="AT370" s="6" t="str">
        <f>HYPERLINK("http://www.worldcat.org/oclc/1341340","WorldCat Record")</f>
        <v>WorldCat Record</v>
      </c>
      <c r="AU370" s="3" t="s">
        <v>4738</v>
      </c>
      <c r="AV370" s="3" t="s">
        <v>4739</v>
      </c>
      <c r="AW370" s="3" t="s">
        <v>4740</v>
      </c>
      <c r="AX370" s="3" t="s">
        <v>4740</v>
      </c>
      <c r="AY370" s="3" t="s">
        <v>4741</v>
      </c>
      <c r="AZ370" s="3" t="s">
        <v>75</v>
      </c>
      <c r="BB370" s="3" t="s">
        <v>4742</v>
      </c>
      <c r="BC370" s="3" t="s">
        <v>4743</v>
      </c>
      <c r="BD370" s="3" t="s">
        <v>4744</v>
      </c>
    </row>
    <row r="371" spans="1:56" ht="39" customHeight="1" x14ac:dyDescent="0.25">
      <c r="A371" s="7" t="s">
        <v>58</v>
      </c>
      <c r="B371" s="2" t="s">
        <v>4745</v>
      </c>
      <c r="C371" s="2" t="s">
        <v>4746</v>
      </c>
      <c r="D371" s="2" t="s">
        <v>4747</v>
      </c>
      <c r="F371" s="3" t="s">
        <v>58</v>
      </c>
      <c r="G371" s="3" t="s">
        <v>59</v>
      </c>
      <c r="H371" s="3" t="s">
        <v>58</v>
      </c>
      <c r="I371" s="3" t="s">
        <v>58</v>
      </c>
      <c r="J371" s="3" t="s">
        <v>60</v>
      </c>
      <c r="K371" s="2" t="s">
        <v>4748</v>
      </c>
      <c r="L371" s="2" t="s">
        <v>4749</v>
      </c>
      <c r="M371" s="3" t="s">
        <v>2418</v>
      </c>
      <c r="O371" s="3" t="s">
        <v>65</v>
      </c>
      <c r="P371" s="3" t="s">
        <v>201</v>
      </c>
      <c r="R371" s="3" t="s">
        <v>68</v>
      </c>
      <c r="S371" s="4">
        <v>4</v>
      </c>
      <c r="T371" s="4">
        <v>4</v>
      </c>
      <c r="U371" s="5" t="s">
        <v>4695</v>
      </c>
      <c r="V371" s="5" t="s">
        <v>4695</v>
      </c>
      <c r="W371" s="5" t="s">
        <v>4696</v>
      </c>
      <c r="X371" s="5" t="s">
        <v>4696</v>
      </c>
      <c r="Y371" s="4">
        <v>303</v>
      </c>
      <c r="Z371" s="4">
        <v>268</v>
      </c>
      <c r="AA371" s="4">
        <v>270</v>
      </c>
      <c r="AB371" s="4">
        <v>3</v>
      </c>
      <c r="AC371" s="4">
        <v>3</v>
      </c>
      <c r="AD371" s="4">
        <v>12</v>
      </c>
      <c r="AE371" s="4">
        <v>12</v>
      </c>
      <c r="AF371" s="4">
        <v>5</v>
      </c>
      <c r="AG371" s="4">
        <v>5</v>
      </c>
      <c r="AH371" s="4">
        <v>2</v>
      </c>
      <c r="AI371" s="4">
        <v>2</v>
      </c>
      <c r="AJ371" s="4">
        <v>6</v>
      </c>
      <c r="AK371" s="4">
        <v>6</v>
      </c>
      <c r="AL371" s="4">
        <v>2</v>
      </c>
      <c r="AM371" s="4">
        <v>2</v>
      </c>
      <c r="AN371" s="4">
        <v>0</v>
      </c>
      <c r="AO371" s="4">
        <v>0</v>
      </c>
      <c r="AP371" s="3" t="s">
        <v>58</v>
      </c>
      <c r="AQ371" s="3" t="s">
        <v>132</v>
      </c>
      <c r="AR371" s="6" t="str">
        <f>HYPERLINK("http://catalog.hathitrust.org/Record/009759740","HathiTrust Record")</f>
        <v>HathiTrust Record</v>
      </c>
      <c r="AS371" s="6" t="str">
        <f>HYPERLINK("https://creighton-primo.hosted.exlibrisgroup.com/primo-explore/search?tab=default_tab&amp;search_scope=EVERYTHING&amp;vid=01CRU&amp;lang=en_US&amp;offset=0&amp;query=any,contains,991002799859702656","Catalog Record")</f>
        <v>Catalog Record</v>
      </c>
      <c r="AT371" s="6" t="str">
        <f>HYPERLINK("http://www.worldcat.org/oclc/446324","WorldCat Record")</f>
        <v>WorldCat Record</v>
      </c>
      <c r="AU371" s="3" t="s">
        <v>4750</v>
      </c>
      <c r="AV371" s="3" t="s">
        <v>4751</v>
      </c>
      <c r="AW371" s="3" t="s">
        <v>4752</v>
      </c>
      <c r="AX371" s="3" t="s">
        <v>4752</v>
      </c>
      <c r="AY371" s="3" t="s">
        <v>4753</v>
      </c>
      <c r="AZ371" s="3" t="s">
        <v>75</v>
      </c>
      <c r="BB371" s="3" t="s">
        <v>4754</v>
      </c>
      <c r="BC371" s="3" t="s">
        <v>4755</v>
      </c>
      <c r="BD371" s="3" t="s">
        <v>4756</v>
      </c>
    </row>
    <row r="372" spans="1:56" ht="39" customHeight="1" x14ac:dyDescent="0.25">
      <c r="A372" s="7" t="s">
        <v>58</v>
      </c>
      <c r="B372" s="2" t="s">
        <v>4757</v>
      </c>
      <c r="C372" s="2" t="s">
        <v>4758</v>
      </c>
      <c r="D372" s="2" t="s">
        <v>4759</v>
      </c>
      <c r="F372" s="3" t="s">
        <v>58</v>
      </c>
      <c r="G372" s="3" t="s">
        <v>59</v>
      </c>
      <c r="H372" s="3" t="s">
        <v>58</v>
      </c>
      <c r="I372" s="3" t="s">
        <v>58</v>
      </c>
      <c r="J372" s="3" t="s">
        <v>60</v>
      </c>
      <c r="K372" s="2" t="s">
        <v>4760</v>
      </c>
      <c r="L372" s="2" t="s">
        <v>4761</v>
      </c>
      <c r="M372" s="3" t="s">
        <v>229</v>
      </c>
      <c r="N372" s="2" t="s">
        <v>476</v>
      </c>
      <c r="O372" s="3" t="s">
        <v>65</v>
      </c>
      <c r="P372" s="3" t="s">
        <v>477</v>
      </c>
      <c r="R372" s="3" t="s">
        <v>68</v>
      </c>
      <c r="S372" s="4">
        <v>2</v>
      </c>
      <c r="T372" s="4">
        <v>2</v>
      </c>
      <c r="U372" s="5" t="s">
        <v>4762</v>
      </c>
      <c r="V372" s="5" t="s">
        <v>4762</v>
      </c>
      <c r="W372" s="5" t="s">
        <v>4763</v>
      </c>
      <c r="X372" s="5" t="s">
        <v>4763</v>
      </c>
      <c r="Y372" s="4">
        <v>503</v>
      </c>
      <c r="Z372" s="4">
        <v>480</v>
      </c>
      <c r="AA372" s="4">
        <v>487</v>
      </c>
      <c r="AB372" s="4">
        <v>3</v>
      </c>
      <c r="AC372" s="4">
        <v>3</v>
      </c>
      <c r="AD372" s="4">
        <v>15</v>
      </c>
      <c r="AE372" s="4">
        <v>15</v>
      </c>
      <c r="AF372" s="4">
        <v>8</v>
      </c>
      <c r="AG372" s="4">
        <v>8</v>
      </c>
      <c r="AH372" s="4">
        <v>2</v>
      </c>
      <c r="AI372" s="4">
        <v>2</v>
      </c>
      <c r="AJ372" s="4">
        <v>11</v>
      </c>
      <c r="AK372" s="4">
        <v>11</v>
      </c>
      <c r="AL372" s="4">
        <v>1</v>
      </c>
      <c r="AM372" s="4">
        <v>1</v>
      </c>
      <c r="AN372" s="4">
        <v>0</v>
      </c>
      <c r="AO372" s="4">
        <v>0</v>
      </c>
      <c r="AP372" s="3" t="s">
        <v>58</v>
      </c>
      <c r="AQ372" s="3" t="s">
        <v>132</v>
      </c>
      <c r="AR372" s="6" t="str">
        <f>HYPERLINK("http://catalog.hathitrust.org/Record/001822562","HathiTrust Record")</f>
        <v>HathiTrust Record</v>
      </c>
      <c r="AS372" s="6" t="str">
        <f>HYPERLINK("https://creighton-primo.hosted.exlibrisgroup.com/primo-explore/search?tab=default_tab&amp;search_scope=EVERYTHING&amp;vid=01CRU&amp;lang=en_US&amp;offset=0&amp;query=any,contains,991001501739702656","Catalog Record")</f>
        <v>Catalog Record</v>
      </c>
      <c r="AT372" s="6" t="str">
        <f>HYPERLINK("http://www.worldcat.org/oclc/19811110","WorldCat Record")</f>
        <v>WorldCat Record</v>
      </c>
      <c r="AU372" s="3" t="s">
        <v>4764</v>
      </c>
      <c r="AV372" s="3" t="s">
        <v>4765</v>
      </c>
      <c r="AW372" s="3" t="s">
        <v>4766</v>
      </c>
      <c r="AX372" s="3" t="s">
        <v>4766</v>
      </c>
      <c r="AY372" s="3" t="s">
        <v>4767</v>
      </c>
      <c r="AZ372" s="3" t="s">
        <v>75</v>
      </c>
      <c r="BB372" s="3" t="s">
        <v>4768</v>
      </c>
      <c r="BC372" s="3" t="s">
        <v>4769</v>
      </c>
      <c r="BD372" s="3" t="s">
        <v>4770</v>
      </c>
    </row>
    <row r="373" spans="1:56" ht="39" customHeight="1" x14ac:dyDescent="0.25">
      <c r="A373" s="7" t="s">
        <v>58</v>
      </c>
      <c r="B373" s="2" t="s">
        <v>4771</v>
      </c>
      <c r="C373" s="2" t="s">
        <v>4772</v>
      </c>
      <c r="D373" s="2" t="s">
        <v>4773</v>
      </c>
      <c r="F373" s="3" t="s">
        <v>58</v>
      </c>
      <c r="G373" s="3" t="s">
        <v>59</v>
      </c>
      <c r="H373" s="3" t="s">
        <v>58</v>
      </c>
      <c r="I373" s="3" t="s">
        <v>58</v>
      </c>
      <c r="J373" s="3" t="s">
        <v>60</v>
      </c>
      <c r="K373" s="2" t="s">
        <v>4774</v>
      </c>
      <c r="L373" s="2" t="s">
        <v>4775</v>
      </c>
      <c r="M373" s="3" t="s">
        <v>1723</v>
      </c>
      <c r="O373" s="3" t="s">
        <v>65</v>
      </c>
      <c r="P373" s="3" t="s">
        <v>66</v>
      </c>
      <c r="R373" s="3" t="s">
        <v>68</v>
      </c>
      <c r="S373" s="4">
        <v>1</v>
      </c>
      <c r="T373" s="4">
        <v>1</v>
      </c>
      <c r="U373" s="5" t="s">
        <v>4776</v>
      </c>
      <c r="V373" s="5" t="s">
        <v>4776</v>
      </c>
      <c r="W373" s="5" t="s">
        <v>4776</v>
      </c>
      <c r="X373" s="5" t="s">
        <v>4776</v>
      </c>
      <c r="Y373" s="4">
        <v>603</v>
      </c>
      <c r="Z373" s="4">
        <v>515</v>
      </c>
      <c r="AA373" s="4">
        <v>518</v>
      </c>
      <c r="AB373" s="4">
        <v>4</v>
      </c>
      <c r="AC373" s="4">
        <v>4</v>
      </c>
      <c r="AD373" s="4">
        <v>30</v>
      </c>
      <c r="AE373" s="4">
        <v>30</v>
      </c>
      <c r="AF373" s="4">
        <v>16</v>
      </c>
      <c r="AG373" s="4">
        <v>16</v>
      </c>
      <c r="AH373" s="4">
        <v>5</v>
      </c>
      <c r="AI373" s="4">
        <v>5</v>
      </c>
      <c r="AJ373" s="4">
        <v>12</v>
      </c>
      <c r="AK373" s="4">
        <v>12</v>
      </c>
      <c r="AL373" s="4">
        <v>3</v>
      </c>
      <c r="AM373" s="4">
        <v>3</v>
      </c>
      <c r="AN373" s="4">
        <v>0</v>
      </c>
      <c r="AO373" s="4">
        <v>0</v>
      </c>
      <c r="AP373" s="3" t="s">
        <v>58</v>
      </c>
      <c r="AQ373" s="3" t="s">
        <v>132</v>
      </c>
      <c r="AR373" s="6" t="str">
        <f>HYPERLINK("http://catalog.hathitrust.org/Record/004347440","HathiTrust Record")</f>
        <v>HathiTrust Record</v>
      </c>
      <c r="AS373" s="6" t="str">
        <f>HYPERLINK("https://creighton-primo.hosted.exlibrisgroup.com/primo-explore/search?tab=default_tab&amp;search_scope=EVERYTHING&amp;vid=01CRU&amp;lang=en_US&amp;offset=0&amp;query=any,contains,991005283359702656","Catalog Record")</f>
        <v>Catalog Record</v>
      </c>
      <c r="AT373" s="6" t="str">
        <f>HYPERLINK("http://www.worldcat.org/oclc/44493137","WorldCat Record")</f>
        <v>WorldCat Record</v>
      </c>
      <c r="AU373" s="3" t="s">
        <v>4777</v>
      </c>
      <c r="AV373" s="3" t="s">
        <v>4778</v>
      </c>
      <c r="AW373" s="3" t="s">
        <v>4779</v>
      </c>
      <c r="AX373" s="3" t="s">
        <v>4779</v>
      </c>
      <c r="AY373" s="3" t="s">
        <v>4780</v>
      </c>
      <c r="AZ373" s="3" t="s">
        <v>75</v>
      </c>
      <c r="BB373" s="3" t="s">
        <v>4781</v>
      </c>
      <c r="BC373" s="3" t="s">
        <v>4782</v>
      </c>
      <c r="BD373" s="3" t="s">
        <v>4783</v>
      </c>
    </row>
    <row r="374" spans="1:56" ht="39" customHeight="1" x14ac:dyDescent="0.25">
      <c r="A374" s="7" t="s">
        <v>58</v>
      </c>
      <c r="B374" s="2" t="s">
        <v>4784</v>
      </c>
      <c r="C374" s="2" t="s">
        <v>4785</v>
      </c>
      <c r="D374" s="2" t="s">
        <v>4786</v>
      </c>
      <c r="F374" s="3" t="s">
        <v>58</v>
      </c>
      <c r="G374" s="3" t="s">
        <v>59</v>
      </c>
      <c r="H374" s="3" t="s">
        <v>58</v>
      </c>
      <c r="I374" s="3" t="s">
        <v>58</v>
      </c>
      <c r="J374" s="3" t="s">
        <v>60</v>
      </c>
      <c r="K374" s="2" t="s">
        <v>4787</v>
      </c>
      <c r="L374" s="2" t="s">
        <v>4788</v>
      </c>
      <c r="M374" s="3" t="s">
        <v>3656</v>
      </c>
      <c r="N374" s="2" t="s">
        <v>4789</v>
      </c>
      <c r="O374" s="3" t="s">
        <v>65</v>
      </c>
      <c r="P374" s="3" t="s">
        <v>967</v>
      </c>
      <c r="R374" s="3" t="s">
        <v>68</v>
      </c>
      <c r="S374" s="4">
        <v>2</v>
      </c>
      <c r="T374" s="4">
        <v>2</v>
      </c>
      <c r="U374" s="5" t="s">
        <v>4790</v>
      </c>
      <c r="V374" s="5" t="s">
        <v>4790</v>
      </c>
      <c r="W374" s="5" t="s">
        <v>4791</v>
      </c>
      <c r="X374" s="5" t="s">
        <v>4791</v>
      </c>
      <c r="Y374" s="4">
        <v>19</v>
      </c>
      <c r="Z374" s="4">
        <v>17</v>
      </c>
      <c r="AA374" s="4">
        <v>503</v>
      </c>
      <c r="AB374" s="4">
        <v>1</v>
      </c>
      <c r="AC374" s="4">
        <v>3</v>
      </c>
      <c r="AD374" s="4">
        <v>1</v>
      </c>
      <c r="AE374" s="4">
        <v>25</v>
      </c>
      <c r="AF374" s="4">
        <v>0</v>
      </c>
      <c r="AG374" s="4">
        <v>9</v>
      </c>
      <c r="AH374" s="4">
        <v>0</v>
      </c>
      <c r="AI374" s="4">
        <v>7</v>
      </c>
      <c r="AJ374" s="4">
        <v>0</v>
      </c>
      <c r="AK374" s="4">
        <v>14</v>
      </c>
      <c r="AL374" s="4">
        <v>0</v>
      </c>
      <c r="AM374" s="4">
        <v>2</v>
      </c>
      <c r="AN374" s="4">
        <v>1</v>
      </c>
      <c r="AO374" s="4">
        <v>1</v>
      </c>
      <c r="AP374" s="3" t="s">
        <v>58</v>
      </c>
      <c r="AQ374" s="3" t="s">
        <v>58</v>
      </c>
      <c r="AS374" s="6" t="str">
        <f>HYPERLINK("https://creighton-primo.hosted.exlibrisgroup.com/primo-explore/search?tab=default_tab&amp;search_scope=EVERYTHING&amp;vid=01CRU&amp;lang=en_US&amp;offset=0&amp;query=any,contains,991003027259702656","Catalog Record")</f>
        <v>Catalog Record</v>
      </c>
      <c r="AT374" s="6" t="str">
        <f>HYPERLINK("http://www.worldcat.org/oclc/41392112","WorldCat Record")</f>
        <v>WorldCat Record</v>
      </c>
      <c r="AU374" s="3" t="s">
        <v>4792</v>
      </c>
      <c r="AV374" s="3" t="s">
        <v>4793</v>
      </c>
      <c r="AW374" s="3" t="s">
        <v>4794</v>
      </c>
      <c r="AX374" s="3" t="s">
        <v>4794</v>
      </c>
      <c r="AY374" s="3" t="s">
        <v>4795</v>
      </c>
      <c r="AZ374" s="3" t="s">
        <v>75</v>
      </c>
      <c r="BB374" s="3" t="s">
        <v>4796</v>
      </c>
      <c r="BC374" s="3" t="s">
        <v>4797</v>
      </c>
      <c r="BD374" s="3" t="s">
        <v>4798</v>
      </c>
    </row>
    <row r="375" spans="1:56" ht="39" customHeight="1" x14ac:dyDescent="0.25">
      <c r="A375" s="7" t="s">
        <v>58</v>
      </c>
      <c r="B375" s="2" t="s">
        <v>4799</v>
      </c>
      <c r="C375" s="2" t="s">
        <v>4800</v>
      </c>
      <c r="D375" s="2" t="s">
        <v>4801</v>
      </c>
      <c r="F375" s="3" t="s">
        <v>58</v>
      </c>
      <c r="G375" s="3" t="s">
        <v>59</v>
      </c>
      <c r="H375" s="3" t="s">
        <v>58</v>
      </c>
      <c r="I375" s="3" t="s">
        <v>58</v>
      </c>
      <c r="J375" s="3" t="s">
        <v>60</v>
      </c>
      <c r="L375" s="2" t="s">
        <v>4802</v>
      </c>
      <c r="M375" s="3" t="s">
        <v>670</v>
      </c>
      <c r="O375" s="3" t="s">
        <v>65</v>
      </c>
      <c r="P375" s="3" t="s">
        <v>2664</v>
      </c>
      <c r="R375" s="3" t="s">
        <v>68</v>
      </c>
      <c r="S375" s="4">
        <v>1</v>
      </c>
      <c r="T375" s="4">
        <v>1</v>
      </c>
      <c r="U375" s="5" t="s">
        <v>4803</v>
      </c>
      <c r="V375" s="5" t="s">
        <v>4803</v>
      </c>
      <c r="W375" s="5" t="s">
        <v>4803</v>
      </c>
      <c r="X375" s="5" t="s">
        <v>4803</v>
      </c>
      <c r="Y375" s="4">
        <v>93</v>
      </c>
      <c r="Z375" s="4">
        <v>88</v>
      </c>
      <c r="AA375" s="4">
        <v>88</v>
      </c>
      <c r="AB375" s="4">
        <v>1</v>
      </c>
      <c r="AC375" s="4">
        <v>1</v>
      </c>
      <c r="AD375" s="4">
        <v>2</v>
      </c>
      <c r="AE375" s="4">
        <v>2</v>
      </c>
      <c r="AF375" s="4">
        <v>0</v>
      </c>
      <c r="AG375" s="4">
        <v>0</v>
      </c>
      <c r="AH375" s="4">
        <v>1</v>
      </c>
      <c r="AI375" s="4">
        <v>1</v>
      </c>
      <c r="AJ375" s="4">
        <v>2</v>
      </c>
      <c r="AK375" s="4">
        <v>2</v>
      </c>
      <c r="AL375" s="4">
        <v>0</v>
      </c>
      <c r="AM375" s="4">
        <v>0</v>
      </c>
      <c r="AN375" s="4">
        <v>0</v>
      </c>
      <c r="AO375" s="4">
        <v>0</v>
      </c>
      <c r="AP375" s="3" t="s">
        <v>58</v>
      </c>
      <c r="AQ375" s="3" t="s">
        <v>58</v>
      </c>
      <c r="AS375" s="6" t="str">
        <f>HYPERLINK("https://creighton-primo.hosted.exlibrisgroup.com/primo-explore/search?tab=default_tab&amp;search_scope=EVERYTHING&amp;vid=01CRU&amp;lang=en_US&amp;offset=0&amp;query=any,contains,991003594609702656","Catalog Record")</f>
        <v>Catalog Record</v>
      </c>
      <c r="AT375" s="6" t="str">
        <f>HYPERLINK("http://www.worldcat.org/oclc/125377","WorldCat Record")</f>
        <v>WorldCat Record</v>
      </c>
      <c r="AU375" s="3" t="s">
        <v>4804</v>
      </c>
      <c r="AV375" s="3" t="s">
        <v>4805</v>
      </c>
      <c r="AW375" s="3" t="s">
        <v>4806</v>
      </c>
      <c r="AX375" s="3" t="s">
        <v>4806</v>
      </c>
      <c r="AY375" s="3" t="s">
        <v>4807</v>
      </c>
      <c r="AZ375" s="3" t="s">
        <v>75</v>
      </c>
      <c r="BC375" s="3" t="s">
        <v>4808</v>
      </c>
      <c r="BD375" s="3" t="s">
        <v>4809</v>
      </c>
    </row>
    <row r="376" spans="1:56" ht="39" customHeight="1" x14ac:dyDescent="0.25">
      <c r="A376" s="7" t="s">
        <v>58</v>
      </c>
      <c r="B376" s="2" t="s">
        <v>4810</v>
      </c>
      <c r="C376" s="2" t="s">
        <v>4811</v>
      </c>
      <c r="D376" s="2" t="s">
        <v>4812</v>
      </c>
      <c r="F376" s="3" t="s">
        <v>58</v>
      </c>
      <c r="G376" s="3" t="s">
        <v>59</v>
      </c>
      <c r="H376" s="3" t="s">
        <v>58</v>
      </c>
      <c r="I376" s="3" t="s">
        <v>58</v>
      </c>
      <c r="J376" s="3" t="s">
        <v>60</v>
      </c>
      <c r="K376" s="2" t="s">
        <v>4813</v>
      </c>
      <c r="L376" s="2" t="s">
        <v>4814</v>
      </c>
      <c r="M376" s="3" t="s">
        <v>1261</v>
      </c>
      <c r="O376" s="3" t="s">
        <v>65</v>
      </c>
      <c r="P376" s="3" t="s">
        <v>186</v>
      </c>
      <c r="R376" s="3" t="s">
        <v>68</v>
      </c>
      <c r="S376" s="4">
        <v>9</v>
      </c>
      <c r="T376" s="4">
        <v>9</v>
      </c>
      <c r="U376" s="5" t="s">
        <v>4815</v>
      </c>
      <c r="V376" s="5" t="s">
        <v>4815</v>
      </c>
      <c r="W376" s="5" t="s">
        <v>4816</v>
      </c>
      <c r="X376" s="5" t="s">
        <v>4816</v>
      </c>
      <c r="Y376" s="4">
        <v>275</v>
      </c>
      <c r="Z376" s="4">
        <v>233</v>
      </c>
      <c r="AA376" s="4">
        <v>261</v>
      </c>
      <c r="AB376" s="4">
        <v>1</v>
      </c>
      <c r="AC376" s="4">
        <v>1</v>
      </c>
      <c r="AD376" s="4">
        <v>18</v>
      </c>
      <c r="AE376" s="4">
        <v>20</v>
      </c>
      <c r="AF376" s="4">
        <v>6</v>
      </c>
      <c r="AG376" s="4">
        <v>7</v>
      </c>
      <c r="AH376" s="4">
        <v>5</v>
      </c>
      <c r="AI376" s="4">
        <v>6</v>
      </c>
      <c r="AJ376" s="4">
        <v>12</v>
      </c>
      <c r="AK376" s="4">
        <v>13</v>
      </c>
      <c r="AL376" s="4">
        <v>0</v>
      </c>
      <c r="AM376" s="4">
        <v>0</v>
      </c>
      <c r="AN376" s="4">
        <v>0</v>
      </c>
      <c r="AO376" s="4">
        <v>0</v>
      </c>
      <c r="AP376" s="3" t="s">
        <v>58</v>
      </c>
      <c r="AQ376" s="3" t="s">
        <v>132</v>
      </c>
      <c r="AR376" s="6" t="str">
        <f>HYPERLINK("http://catalog.hathitrust.org/Record/002555975","HathiTrust Record")</f>
        <v>HathiTrust Record</v>
      </c>
      <c r="AS376" s="6" t="str">
        <f>HYPERLINK("https://creighton-primo.hosted.exlibrisgroup.com/primo-explore/search?tab=default_tab&amp;search_scope=EVERYTHING&amp;vid=01CRU&amp;lang=en_US&amp;offset=0&amp;query=any,contains,991001920849702656","Catalog Record")</f>
        <v>Catalog Record</v>
      </c>
      <c r="AT376" s="6" t="str">
        <f>HYPERLINK("http://www.worldcat.org/oclc/24246692","WorldCat Record")</f>
        <v>WorldCat Record</v>
      </c>
      <c r="AU376" s="3" t="s">
        <v>4817</v>
      </c>
      <c r="AV376" s="3" t="s">
        <v>4818</v>
      </c>
      <c r="AW376" s="3" t="s">
        <v>4819</v>
      </c>
      <c r="AX376" s="3" t="s">
        <v>4819</v>
      </c>
      <c r="AY376" s="3" t="s">
        <v>4820</v>
      </c>
      <c r="AZ376" s="3" t="s">
        <v>75</v>
      </c>
      <c r="BB376" s="3" t="s">
        <v>4821</v>
      </c>
      <c r="BC376" s="3" t="s">
        <v>4822</v>
      </c>
      <c r="BD376" s="3" t="s">
        <v>4823</v>
      </c>
    </row>
    <row r="377" spans="1:56" ht="39" customHeight="1" x14ac:dyDescent="0.25">
      <c r="A377" s="7" t="s">
        <v>58</v>
      </c>
      <c r="B377" s="2" t="s">
        <v>4824</v>
      </c>
      <c r="C377" s="2" t="s">
        <v>4825</v>
      </c>
      <c r="D377" s="2" t="s">
        <v>4826</v>
      </c>
      <c r="F377" s="3" t="s">
        <v>58</v>
      </c>
      <c r="G377" s="3" t="s">
        <v>59</v>
      </c>
      <c r="H377" s="3" t="s">
        <v>58</v>
      </c>
      <c r="I377" s="3" t="s">
        <v>58</v>
      </c>
      <c r="J377" s="3" t="s">
        <v>60</v>
      </c>
      <c r="L377" s="2" t="s">
        <v>4827</v>
      </c>
      <c r="M377" s="3" t="s">
        <v>4281</v>
      </c>
      <c r="O377" s="3" t="s">
        <v>65</v>
      </c>
      <c r="P377" s="3" t="s">
        <v>1358</v>
      </c>
      <c r="R377" s="3" t="s">
        <v>68</v>
      </c>
      <c r="S377" s="4">
        <v>3</v>
      </c>
      <c r="T377" s="4">
        <v>3</v>
      </c>
      <c r="U377" s="5" t="s">
        <v>4828</v>
      </c>
      <c r="V377" s="5" t="s">
        <v>4828</v>
      </c>
      <c r="W377" s="5" t="s">
        <v>4828</v>
      </c>
      <c r="X377" s="5" t="s">
        <v>4828</v>
      </c>
      <c r="Y377" s="4">
        <v>345</v>
      </c>
      <c r="Z377" s="4">
        <v>303</v>
      </c>
      <c r="AA377" s="4">
        <v>303</v>
      </c>
      <c r="AB377" s="4">
        <v>5</v>
      </c>
      <c r="AC377" s="4">
        <v>5</v>
      </c>
      <c r="AD377" s="4">
        <v>27</v>
      </c>
      <c r="AE377" s="4">
        <v>27</v>
      </c>
      <c r="AF377" s="4">
        <v>14</v>
      </c>
      <c r="AG377" s="4">
        <v>14</v>
      </c>
      <c r="AH377" s="4">
        <v>5</v>
      </c>
      <c r="AI377" s="4">
        <v>5</v>
      </c>
      <c r="AJ377" s="4">
        <v>11</v>
      </c>
      <c r="AK377" s="4">
        <v>11</v>
      </c>
      <c r="AL377" s="4">
        <v>4</v>
      </c>
      <c r="AM377" s="4">
        <v>4</v>
      </c>
      <c r="AN377" s="4">
        <v>0</v>
      </c>
      <c r="AO377" s="4">
        <v>0</v>
      </c>
      <c r="AP377" s="3" t="s">
        <v>58</v>
      </c>
      <c r="AQ377" s="3" t="s">
        <v>58</v>
      </c>
      <c r="AS377" s="6" t="str">
        <f>HYPERLINK("https://creighton-primo.hosted.exlibrisgroup.com/primo-explore/search?tab=default_tab&amp;search_scope=EVERYTHING&amp;vid=01CRU&amp;lang=en_US&amp;offset=0&amp;query=any,contains,991004358359702656","Catalog Record")</f>
        <v>Catalog Record</v>
      </c>
      <c r="AT377" s="6" t="str">
        <f>HYPERLINK("http://www.worldcat.org/oclc/52559101","WorldCat Record")</f>
        <v>WorldCat Record</v>
      </c>
      <c r="AU377" s="3" t="s">
        <v>4829</v>
      </c>
      <c r="AV377" s="3" t="s">
        <v>4830</v>
      </c>
      <c r="AW377" s="3" t="s">
        <v>4831</v>
      </c>
      <c r="AX377" s="3" t="s">
        <v>4831</v>
      </c>
      <c r="AY377" s="3" t="s">
        <v>4832</v>
      </c>
      <c r="AZ377" s="3" t="s">
        <v>75</v>
      </c>
      <c r="BB377" s="3" t="s">
        <v>4833</v>
      </c>
      <c r="BC377" s="3" t="s">
        <v>4834</v>
      </c>
      <c r="BD377" s="3" t="s">
        <v>4835</v>
      </c>
    </row>
    <row r="378" spans="1:56" ht="39" customHeight="1" x14ac:dyDescent="0.25">
      <c r="A378" s="7" t="s">
        <v>58</v>
      </c>
      <c r="B378" s="2" t="s">
        <v>4836</v>
      </c>
      <c r="C378" s="2" t="s">
        <v>4837</v>
      </c>
      <c r="D378" s="2" t="s">
        <v>4838</v>
      </c>
      <c r="F378" s="3" t="s">
        <v>58</v>
      </c>
      <c r="G378" s="3" t="s">
        <v>59</v>
      </c>
      <c r="H378" s="3" t="s">
        <v>58</v>
      </c>
      <c r="I378" s="3" t="s">
        <v>58</v>
      </c>
      <c r="J378" s="3" t="s">
        <v>60</v>
      </c>
      <c r="K378" s="2" t="s">
        <v>4839</v>
      </c>
      <c r="L378" s="2" t="s">
        <v>4840</v>
      </c>
      <c r="M378" s="3" t="s">
        <v>655</v>
      </c>
      <c r="O378" s="3" t="s">
        <v>65</v>
      </c>
      <c r="P378" s="3" t="s">
        <v>186</v>
      </c>
      <c r="R378" s="3" t="s">
        <v>68</v>
      </c>
      <c r="S378" s="4">
        <v>4</v>
      </c>
      <c r="T378" s="4">
        <v>4</v>
      </c>
      <c r="U378" s="5" t="s">
        <v>4057</v>
      </c>
      <c r="V378" s="5" t="s">
        <v>4057</v>
      </c>
      <c r="W378" s="5" t="s">
        <v>4841</v>
      </c>
      <c r="X378" s="5" t="s">
        <v>4841</v>
      </c>
      <c r="Y378" s="4">
        <v>995</v>
      </c>
      <c r="Z378" s="4">
        <v>935</v>
      </c>
      <c r="AA378" s="4">
        <v>941</v>
      </c>
      <c r="AB378" s="4">
        <v>10</v>
      </c>
      <c r="AC378" s="4">
        <v>10</v>
      </c>
      <c r="AD378" s="4">
        <v>24</v>
      </c>
      <c r="AE378" s="4">
        <v>24</v>
      </c>
      <c r="AF378" s="4">
        <v>8</v>
      </c>
      <c r="AG378" s="4">
        <v>8</v>
      </c>
      <c r="AH378" s="4">
        <v>4</v>
      </c>
      <c r="AI378" s="4">
        <v>4</v>
      </c>
      <c r="AJ378" s="4">
        <v>13</v>
      </c>
      <c r="AK378" s="4">
        <v>13</v>
      </c>
      <c r="AL378" s="4">
        <v>6</v>
      </c>
      <c r="AM378" s="4">
        <v>6</v>
      </c>
      <c r="AN378" s="4">
        <v>0</v>
      </c>
      <c r="AO378" s="4">
        <v>0</v>
      </c>
      <c r="AP378" s="3" t="s">
        <v>58</v>
      </c>
      <c r="AQ378" s="3" t="s">
        <v>58</v>
      </c>
      <c r="AS378" s="6" t="str">
        <f>HYPERLINK("https://creighton-primo.hosted.exlibrisgroup.com/primo-explore/search?tab=default_tab&amp;search_scope=EVERYTHING&amp;vid=01CRU&amp;lang=en_US&amp;offset=0&amp;query=any,contains,991003269639702656","Catalog Record")</f>
        <v>Catalog Record</v>
      </c>
      <c r="AT378" s="6" t="str">
        <f>HYPERLINK("http://www.worldcat.org/oclc/704687","WorldCat Record")</f>
        <v>WorldCat Record</v>
      </c>
      <c r="AU378" s="3" t="s">
        <v>4842</v>
      </c>
      <c r="AV378" s="3" t="s">
        <v>4843</v>
      </c>
      <c r="AW378" s="3" t="s">
        <v>4844</v>
      </c>
      <c r="AX378" s="3" t="s">
        <v>4844</v>
      </c>
      <c r="AY378" s="3" t="s">
        <v>4845</v>
      </c>
      <c r="AZ378" s="3" t="s">
        <v>75</v>
      </c>
      <c r="BC378" s="3" t="s">
        <v>4846</v>
      </c>
      <c r="BD378" s="3" t="s">
        <v>4847</v>
      </c>
    </row>
    <row r="379" spans="1:56" ht="39" customHeight="1" x14ac:dyDescent="0.25">
      <c r="A379" s="7" t="s">
        <v>58</v>
      </c>
      <c r="B379" s="2" t="s">
        <v>4848</v>
      </c>
      <c r="C379" s="2" t="s">
        <v>4849</v>
      </c>
      <c r="D379" s="2" t="s">
        <v>4850</v>
      </c>
      <c r="F379" s="3" t="s">
        <v>58</v>
      </c>
      <c r="G379" s="3" t="s">
        <v>59</v>
      </c>
      <c r="H379" s="3" t="s">
        <v>58</v>
      </c>
      <c r="I379" s="3" t="s">
        <v>58</v>
      </c>
      <c r="J379" s="3" t="s">
        <v>60</v>
      </c>
      <c r="K379" s="2" t="s">
        <v>4851</v>
      </c>
      <c r="L379" s="2" t="s">
        <v>4852</v>
      </c>
      <c r="M379" s="3" t="s">
        <v>759</v>
      </c>
      <c r="O379" s="3" t="s">
        <v>65</v>
      </c>
      <c r="P379" s="3" t="s">
        <v>186</v>
      </c>
      <c r="R379" s="3" t="s">
        <v>68</v>
      </c>
      <c r="S379" s="4">
        <v>4</v>
      </c>
      <c r="T379" s="4">
        <v>4</v>
      </c>
      <c r="U379" s="5" t="s">
        <v>4853</v>
      </c>
      <c r="V379" s="5" t="s">
        <v>4853</v>
      </c>
      <c r="W379" s="5" t="s">
        <v>3947</v>
      </c>
      <c r="X379" s="5" t="s">
        <v>3947</v>
      </c>
      <c r="Y379" s="4">
        <v>530</v>
      </c>
      <c r="Z379" s="4">
        <v>501</v>
      </c>
      <c r="AA379" s="4">
        <v>506</v>
      </c>
      <c r="AB379" s="4">
        <v>2</v>
      </c>
      <c r="AC379" s="4">
        <v>2</v>
      </c>
      <c r="AD379" s="4">
        <v>6</v>
      </c>
      <c r="AE379" s="4">
        <v>6</v>
      </c>
      <c r="AF379" s="4">
        <v>4</v>
      </c>
      <c r="AG379" s="4">
        <v>4</v>
      </c>
      <c r="AH379" s="4">
        <v>0</v>
      </c>
      <c r="AI379" s="4">
        <v>0</v>
      </c>
      <c r="AJ379" s="4">
        <v>3</v>
      </c>
      <c r="AK379" s="4">
        <v>3</v>
      </c>
      <c r="AL379" s="4">
        <v>0</v>
      </c>
      <c r="AM379" s="4">
        <v>0</v>
      </c>
      <c r="AN379" s="4">
        <v>0</v>
      </c>
      <c r="AO379" s="4">
        <v>0</v>
      </c>
      <c r="AP379" s="3" t="s">
        <v>58</v>
      </c>
      <c r="AQ379" s="3" t="s">
        <v>132</v>
      </c>
      <c r="AR379" s="6" t="str">
        <f>HYPERLINK("http://catalog.hathitrust.org/Record/006915125","HathiTrust Record")</f>
        <v>HathiTrust Record</v>
      </c>
      <c r="AS379" s="6" t="str">
        <f>HYPERLINK("https://creighton-primo.hosted.exlibrisgroup.com/primo-explore/search?tab=default_tab&amp;search_scope=EVERYTHING&amp;vid=01CRU&amp;lang=en_US&amp;offset=0&amp;query=any,contains,991001174749702656","Catalog Record")</f>
        <v>Catalog Record</v>
      </c>
      <c r="AT379" s="6" t="str">
        <f>HYPERLINK("http://www.worldcat.org/oclc/16985904","WorldCat Record")</f>
        <v>WorldCat Record</v>
      </c>
      <c r="AU379" s="3" t="s">
        <v>4854</v>
      </c>
      <c r="AV379" s="3" t="s">
        <v>4855</v>
      </c>
      <c r="AW379" s="3" t="s">
        <v>4856</v>
      </c>
      <c r="AX379" s="3" t="s">
        <v>4856</v>
      </c>
      <c r="AY379" s="3" t="s">
        <v>4857</v>
      </c>
      <c r="AZ379" s="3" t="s">
        <v>75</v>
      </c>
      <c r="BB379" s="3" t="s">
        <v>4858</v>
      </c>
      <c r="BC379" s="3" t="s">
        <v>4859</v>
      </c>
      <c r="BD379" s="3" t="s">
        <v>4860</v>
      </c>
    </row>
    <row r="380" spans="1:56" ht="39" customHeight="1" x14ac:dyDescent="0.25">
      <c r="A380" s="7" t="s">
        <v>58</v>
      </c>
      <c r="B380" s="2" t="s">
        <v>4861</v>
      </c>
      <c r="C380" s="2" t="s">
        <v>4862</v>
      </c>
      <c r="D380" s="2" t="s">
        <v>4863</v>
      </c>
      <c r="F380" s="3" t="s">
        <v>58</v>
      </c>
      <c r="G380" s="3" t="s">
        <v>59</v>
      </c>
      <c r="H380" s="3" t="s">
        <v>58</v>
      </c>
      <c r="I380" s="3" t="s">
        <v>58</v>
      </c>
      <c r="J380" s="3" t="s">
        <v>60</v>
      </c>
      <c r="K380" s="2" t="s">
        <v>4864</v>
      </c>
      <c r="L380" s="2" t="s">
        <v>4865</v>
      </c>
      <c r="M380" s="3" t="s">
        <v>759</v>
      </c>
      <c r="N380" s="2" t="s">
        <v>476</v>
      </c>
      <c r="O380" s="3" t="s">
        <v>65</v>
      </c>
      <c r="P380" s="3" t="s">
        <v>186</v>
      </c>
      <c r="Q380" s="2" t="s">
        <v>4866</v>
      </c>
      <c r="R380" s="3" t="s">
        <v>68</v>
      </c>
      <c r="S380" s="4">
        <v>6</v>
      </c>
      <c r="T380" s="4">
        <v>6</v>
      </c>
      <c r="U380" s="5" t="s">
        <v>4853</v>
      </c>
      <c r="V380" s="5" t="s">
        <v>4853</v>
      </c>
      <c r="W380" s="5" t="s">
        <v>4696</v>
      </c>
      <c r="X380" s="5" t="s">
        <v>4696</v>
      </c>
      <c r="Y380" s="4">
        <v>830</v>
      </c>
      <c r="Z380" s="4">
        <v>785</v>
      </c>
      <c r="AA380" s="4">
        <v>792</v>
      </c>
      <c r="AB380" s="4">
        <v>3</v>
      </c>
      <c r="AC380" s="4">
        <v>3</v>
      </c>
      <c r="AD380" s="4">
        <v>13</v>
      </c>
      <c r="AE380" s="4">
        <v>13</v>
      </c>
      <c r="AF380" s="4">
        <v>8</v>
      </c>
      <c r="AG380" s="4">
        <v>8</v>
      </c>
      <c r="AH380" s="4">
        <v>0</v>
      </c>
      <c r="AI380" s="4">
        <v>0</v>
      </c>
      <c r="AJ380" s="4">
        <v>7</v>
      </c>
      <c r="AK380" s="4">
        <v>7</v>
      </c>
      <c r="AL380" s="4">
        <v>1</v>
      </c>
      <c r="AM380" s="4">
        <v>1</v>
      </c>
      <c r="AN380" s="4">
        <v>0</v>
      </c>
      <c r="AO380" s="4">
        <v>0</v>
      </c>
      <c r="AP380" s="3" t="s">
        <v>58</v>
      </c>
      <c r="AQ380" s="3" t="s">
        <v>58</v>
      </c>
      <c r="AS380" s="6" t="str">
        <f>HYPERLINK("https://creighton-primo.hosted.exlibrisgroup.com/primo-explore/search?tab=default_tab&amp;search_scope=EVERYTHING&amp;vid=01CRU&amp;lang=en_US&amp;offset=0&amp;query=any,contains,991001275059702656","Catalog Record")</f>
        <v>Catalog Record</v>
      </c>
      <c r="AT380" s="6" t="str">
        <f>HYPERLINK("http://www.worldcat.org/oclc/17873187","WorldCat Record")</f>
        <v>WorldCat Record</v>
      </c>
      <c r="AU380" s="3" t="s">
        <v>4867</v>
      </c>
      <c r="AV380" s="3" t="s">
        <v>4868</v>
      </c>
      <c r="AW380" s="3" t="s">
        <v>4869</v>
      </c>
      <c r="AX380" s="3" t="s">
        <v>4869</v>
      </c>
      <c r="AY380" s="3" t="s">
        <v>4870</v>
      </c>
      <c r="AZ380" s="3" t="s">
        <v>75</v>
      </c>
      <c r="BB380" s="3" t="s">
        <v>4871</v>
      </c>
      <c r="BC380" s="3" t="s">
        <v>4872</v>
      </c>
      <c r="BD380" s="3" t="s">
        <v>4873</v>
      </c>
    </row>
    <row r="381" spans="1:56" ht="39" customHeight="1" x14ac:dyDescent="0.25">
      <c r="A381" s="7" t="s">
        <v>58</v>
      </c>
      <c r="B381" s="2" t="s">
        <v>4874</v>
      </c>
      <c r="C381" s="2" t="s">
        <v>4875</v>
      </c>
      <c r="D381" s="2" t="s">
        <v>4876</v>
      </c>
      <c r="F381" s="3" t="s">
        <v>58</v>
      </c>
      <c r="G381" s="3" t="s">
        <v>59</v>
      </c>
      <c r="H381" s="3" t="s">
        <v>58</v>
      </c>
      <c r="I381" s="3" t="s">
        <v>58</v>
      </c>
      <c r="J381" s="3" t="s">
        <v>60</v>
      </c>
      <c r="K381" s="2" t="s">
        <v>4877</v>
      </c>
      <c r="L381" s="2" t="s">
        <v>4878</v>
      </c>
      <c r="M381" s="3" t="s">
        <v>229</v>
      </c>
      <c r="N381" s="2" t="s">
        <v>476</v>
      </c>
      <c r="O381" s="3" t="s">
        <v>65</v>
      </c>
      <c r="P381" s="3" t="s">
        <v>186</v>
      </c>
      <c r="R381" s="3" t="s">
        <v>68</v>
      </c>
      <c r="S381" s="4">
        <v>5</v>
      </c>
      <c r="T381" s="4">
        <v>5</v>
      </c>
      <c r="U381" s="5" t="s">
        <v>4853</v>
      </c>
      <c r="V381" s="5" t="s">
        <v>4853</v>
      </c>
      <c r="W381" s="5" t="s">
        <v>4879</v>
      </c>
      <c r="X381" s="5" t="s">
        <v>4879</v>
      </c>
      <c r="Y381" s="4">
        <v>1180</v>
      </c>
      <c r="Z381" s="4">
        <v>1120</v>
      </c>
      <c r="AA381" s="4">
        <v>1155</v>
      </c>
      <c r="AB381" s="4">
        <v>4</v>
      </c>
      <c r="AC381" s="4">
        <v>4</v>
      </c>
      <c r="AD381" s="4">
        <v>17</v>
      </c>
      <c r="AE381" s="4">
        <v>20</v>
      </c>
      <c r="AF381" s="4">
        <v>9</v>
      </c>
      <c r="AG381" s="4">
        <v>10</v>
      </c>
      <c r="AH381" s="4">
        <v>2</v>
      </c>
      <c r="AI381" s="4">
        <v>2</v>
      </c>
      <c r="AJ381" s="4">
        <v>7</v>
      </c>
      <c r="AK381" s="4">
        <v>9</v>
      </c>
      <c r="AL381" s="4">
        <v>1</v>
      </c>
      <c r="AM381" s="4">
        <v>1</v>
      </c>
      <c r="AN381" s="4">
        <v>1</v>
      </c>
      <c r="AO381" s="4">
        <v>1</v>
      </c>
      <c r="AP381" s="3" t="s">
        <v>58</v>
      </c>
      <c r="AQ381" s="3" t="s">
        <v>58</v>
      </c>
      <c r="AS381" s="6" t="str">
        <f>HYPERLINK("https://creighton-primo.hosted.exlibrisgroup.com/primo-explore/search?tab=default_tab&amp;search_scope=EVERYTHING&amp;vid=01CRU&amp;lang=en_US&amp;offset=0&amp;query=any,contains,991001495169702656","Catalog Record")</f>
        <v>Catalog Record</v>
      </c>
      <c r="AT381" s="6" t="str">
        <f>HYPERLINK("http://www.worldcat.org/oclc/19742635","WorldCat Record")</f>
        <v>WorldCat Record</v>
      </c>
      <c r="AU381" s="3" t="s">
        <v>4880</v>
      </c>
      <c r="AV381" s="3" t="s">
        <v>4881</v>
      </c>
      <c r="AW381" s="3" t="s">
        <v>4882</v>
      </c>
      <c r="AX381" s="3" t="s">
        <v>4882</v>
      </c>
      <c r="AY381" s="3" t="s">
        <v>4883</v>
      </c>
      <c r="AZ381" s="3" t="s">
        <v>75</v>
      </c>
      <c r="BB381" s="3" t="s">
        <v>4884</v>
      </c>
      <c r="BC381" s="3" t="s">
        <v>4885</v>
      </c>
      <c r="BD381" s="3" t="s">
        <v>4886</v>
      </c>
    </row>
    <row r="382" spans="1:56" ht="39" customHeight="1" x14ac:dyDescent="0.25">
      <c r="A382" s="7" t="s">
        <v>58</v>
      </c>
      <c r="B382" s="2" t="s">
        <v>4887</v>
      </c>
      <c r="C382" s="2" t="s">
        <v>4888</v>
      </c>
      <c r="D382" s="2" t="s">
        <v>4889</v>
      </c>
      <c r="F382" s="3" t="s">
        <v>58</v>
      </c>
      <c r="G382" s="3" t="s">
        <v>59</v>
      </c>
      <c r="H382" s="3" t="s">
        <v>58</v>
      </c>
      <c r="I382" s="3" t="s">
        <v>58</v>
      </c>
      <c r="J382" s="3" t="s">
        <v>60</v>
      </c>
      <c r="K382" s="2" t="s">
        <v>4890</v>
      </c>
      <c r="L382" s="2" t="s">
        <v>4891</v>
      </c>
      <c r="M382" s="3" t="s">
        <v>3656</v>
      </c>
      <c r="N382" s="2" t="s">
        <v>476</v>
      </c>
      <c r="O382" s="3" t="s">
        <v>65</v>
      </c>
      <c r="P382" s="3" t="s">
        <v>477</v>
      </c>
      <c r="R382" s="3" t="s">
        <v>68</v>
      </c>
      <c r="S382" s="4">
        <v>7</v>
      </c>
      <c r="T382" s="4">
        <v>7</v>
      </c>
      <c r="U382" s="5" t="s">
        <v>4892</v>
      </c>
      <c r="V382" s="5" t="s">
        <v>4892</v>
      </c>
      <c r="W382" s="5" t="s">
        <v>4893</v>
      </c>
      <c r="X382" s="5" t="s">
        <v>4893</v>
      </c>
      <c r="Y382" s="4">
        <v>2905</v>
      </c>
      <c r="Z382" s="4">
        <v>2824</v>
      </c>
      <c r="AA382" s="4">
        <v>3085</v>
      </c>
      <c r="AB382" s="4">
        <v>32</v>
      </c>
      <c r="AC382" s="4">
        <v>33</v>
      </c>
      <c r="AD382" s="4">
        <v>36</v>
      </c>
      <c r="AE382" s="4">
        <v>38</v>
      </c>
      <c r="AF382" s="4">
        <v>14</v>
      </c>
      <c r="AG382" s="4">
        <v>15</v>
      </c>
      <c r="AH382" s="4">
        <v>6</v>
      </c>
      <c r="AI382" s="4">
        <v>6</v>
      </c>
      <c r="AJ382" s="4">
        <v>14</v>
      </c>
      <c r="AK382" s="4">
        <v>16</v>
      </c>
      <c r="AL382" s="4">
        <v>8</v>
      </c>
      <c r="AM382" s="4">
        <v>8</v>
      </c>
      <c r="AN382" s="4">
        <v>0</v>
      </c>
      <c r="AO382" s="4">
        <v>0</v>
      </c>
      <c r="AP382" s="3" t="s">
        <v>58</v>
      </c>
      <c r="AQ382" s="3" t="s">
        <v>132</v>
      </c>
      <c r="AR382" s="6" t="str">
        <f>HYPERLINK("http://catalog.hathitrust.org/Record/003970024","HathiTrust Record")</f>
        <v>HathiTrust Record</v>
      </c>
      <c r="AS382" s="6" t="str">
        <f>HYPERLINK("https://creighton-primo.hosted.exlibrisgroup.com/primo-explore/search?tab=default_tab&amp;search_scope=EVERYTHING&amp;vid=01CRU&amp;lang=en_US&amp;offset=0&amp;query=any,contains,991002761689702656","Catalog Record")</f>
        <v>Catalog Record</v>
      </c>
      <c r="AT382" s="6" t="str">
        <f>HYPERLINK("http://www.worldcat.org/oclc/36225259","WorldCat Record")</f>
        <v>WorldCat Record</v>
      </c>
      <c r="AU382" s="3" t="s">
        <v>4894</v>
      </c>
      <c r="AV382" s="3" t="s">
        <v>4895</v>
      </c>
      <c r="AW382" s="3" t="s">
        <v>4896</v>
      </c>
      <c r="AX382" s="3" t="s">
        <v>4896</v>
      </c>
      <c r="AY382" s="3" t="s">
        <v>4897</v>
      </c>
      <c r="AZ382" s="3" t="s">
        <v>75</v>
      </c>
      <c r="BB382" s="3" t="s">
        <v>4898</v>
      </c>
      <c r="BC382" s="3" t="s">
        <v>4899</v>
      </c>
      <c r="BD382" s="3" t="s">
        <v>4900</v>
      </c>
    </row>
    <row r="383" spans="1:56" ht="39" customHeight="1" x14ac:dyDescent="0.25">
      <c r="A383" s="7" t="s">
        <v>58</v>
      </c>
      <c r="B383" s="2" t="s">
        <v>4901</v>
      </c>
      <c r="C383" s="2" t="s">
        <v>4902</v>
      </c>
      <c r="D383" s="2" t="s">
        <v>4903</v>
      </c>
      <c r="F383" s="3" t="s">
        <v>58</v>
      </c>
      <c r="G383" s="3" t="s">
        <v>59</v>
      </c>
      <c r="H383" s="3" t="s">
        <v>58</v>
      </c>
      <c r="I383" s="3" t="s">
        <v>58</v>
      </c>
      <c r="J383" s="3" t="s">
        <v>60</v>
      </c>
      <c r="K383" s="2" t="s">
        <v>4904</v>
      </c>
      <c r="L383" s="2" t="s">
        <v>4905</v>
      </c>
      <c r="M383" s="3" t="s">
        <v>655</v>
      </c>
      <c r="O383" s="3" t="s">
        <v>65</v>
      </c>
      <c r="P383" s="3" t="s">
        <v>186</v>
      </c>
      <c r="R383" s="3" t="s">
        <v>68</v>
      </c>
      <c r="S383" s="4">
        <v>1</v>
      </c>
      <c r="T383" s="4">
        <v>1</v>
      </c>
      <c r="U383" s="5" t="s">
        <v>4906</v>
      </c>
      <c r="V383" s="5" t="s">
        <v>4906</v>
      </c>
      <c r="W383" s="5" t="s">
        <v>4696</v>
      </c>
      <c r="X383" s="5" t="s">
        <v>4696</v>
      </c>
      <c r="Y383" s="4">
        <v>362</v>
      </c>
      <c r="Z383" s="4">
        <v>342</v>
      </c>
      <c r="AA383" s="4">
        <v>445</v>
      </c>
      <c r="AB383" s="4">
        <v>3</v>
      </c>
      <c r="AC383" s="4">
        <v>3</v>
      </c>
      <c r="AD383" s="4">
        <v>17</v>
      </c>
      <c r="AE383" s="4">
        <v>19</v>
      </c>
      <c r="AF383" s="4">
        <v>5</v>
      </c>
      <c r="AG383" s="4">
        <v>5</v>
      </c>
      <c r="AH383" s="4">
        <v>5</v>
      </c>
      <c r="AI383" s="4">
        <v>6</v>
      </c>
      <c r="AJ383" s="4">
        <v>10</v>
      </c>
      <c r="AK383" s="4">
        <v>12</v>
      </c>
      <c r="AL383" s="4">
        <v>2</v>
      </c>
      <c r="AM383" s="4">
        <v>2</v>
      </c>
      <c r="AN383" s="4">
        <v>0</v>
      </c>
      <c r="AO383" s="4">
        <v>0</v>
      </c>
      <c r="AP383" s="3" t="s">
        <v>58</v>
      </c>
      <c r="AQ383" s="3" t="s">
        <v>132</v>
      </c>
      <c r="AR383" s="6" t="str">
        <f>HYPERLINK("http://catalog.hathitrust.org/Record/009906988","HathiTrust Record")</f>
        <v>HathiTrust Record</v>
      </c>
      <c r="AS383" s="6" t="str">
        <f>HYPERLINK("https://creighton-primo.hosted.exlibrisgroup.com/primo-explore/search?tab=default_tab&amp;search_scope=EVERYTHING&amp;vid=01CRU&amp;lang=en_US&amp;offset=0&amp;query=any,contains,991003092149702656","Catalog Record")</f>
        <v>Catalog Record</v>
      </c>
      <c r="AT383" s="6" t="str">
        <f>HYPERLINK("http://www.worldcat.org/oclc/642243","WorldCat Record")</f>
        <v>WorldCat Record</v>
      </c>
      <c r="AU383" s="3" t="s">
        <v>4907</v>
      </c>
      <c r="AV383" s="3" t="s">
        <v>4908</v>
      </c>
      <c r="AW383" s="3" t="s">
        <v>4909</v>
      </c>
      <c r="AX383" s="3" t="s">
        <v>4909</v>
      </c>
      <c r="AY383" s="3" t="s">
        <v>4910</v>
      </c>
      <c r="AZ383" s="3" t="s">
        <v>75</v>
      </c>
      <c r="BB383" s="3" t="s">
        <v>4911</v>
      </c>
      <c r="BC383" s="3" t="s">
        <v>4912</v>
      </c>
      <c r="BD383" s="3" t="s">
        <v>4913</v>
      </c>
    </row>
    <row r="384" spans="1:56" ht="39" customHeight="1" x14ac:dyDescent="0.25">
      <c r="A384" s="7" t="s">
        <v>58</v>
      </c>
      <c r="B384" s="2" t="s">
        <v>4914</v>
      </c>
      <c r="C384" s="2" t="s">
        <v>4915</v>
      </c>
      <c r="D384" s="2" t="s">
        <v>4916</v>
      </c>
      <c r="F384" s="3" t="s">
        <v>58</v>
      </c>
      <c r="G384" s="3" t="s">
        <v>59</v>
      </c>
      <c r="H384" s="3" t="s">
        <v>58</v>
      </c>
      <c r="I384" s="3" t="s">
        <v>58</v>
      </c>
      <c r="J384" s="3" t="s">
        <v>60</v>
      </c>
      <c r="K384" s="2" t="s">
        <v>4917</v>
      </c>
      <c r="L384" s="2" t="s">
        <v>4918</v>
      </c>
      <c r="M384" s="3" t="s">
        <v>1150</v>
      </c>
      <c r="O384" s="3" t="s">
        <v>65</v>
      </c>
      <c r="P384" s="3" t="s">
        <v>186</v>
      </c>
      <c r="R384" s="3" t="s">
        <v>68</v>
      </c>
      <c r="S384" s="4">
        <v>1</v>
      </c>
      <c r="T384" s="4">
        <v>1</v>
      </c>
      <c r="U384" s="5" t="s">
        <v>1084</v>
      </c>
      <c r="V384" s="5" t="s">
        <v>1084</v>
      </c>
      <c r="W384" s="5" t="s">
        <v>4919</v>
      </c>
      <c r="X384" s="5" t="s">
        <v>4919</v>
      </c>
      <c r="Y384" s="4">
        <v>563</v>
      </c>
      <c r="Z384" s="4">
        <v>528</v>
      </c>
      <c r="AA384" s="4">
        <v>533</v>
      </c>
      <c r="AB384" s="4">
        <v>4</v>
      </c>
      <c r="AC384" s="4">
        <v>4</v>
      </c>
      <c r="AD384" s="4">
        <v>15</v>
      </c>
      <c r="AE384" s="4">
        <v>15</v>
      </c>
      <c r="AF384" s="4">
        <v>3</v>
      </c>
      <c r="AG384" s="4">
        <v>3</v>
      </c>
      <c r="AH384" s="4">
        <v>4</v>
      </c>
      <c r="AI384" s="4">
        <v>4</v>
      </c>
      <c r="AJ384" s="4">
        <v>5</v>
      </c>
      <c r="AK384" s="4">
        <v>5</v>
      </c>
      <c r="AL384" s="4">
        <v>2</v>
      </c>
      <c r="AM384" s="4">
        <v>2</v>
      </c>
      <c r="AN384" s="4">
        <v>3</v>
      </c>
      <c r="AO384" s="4">
        <v>3</v>
      </c>
      <c r="AP384" s="3" t="s">
        <v>58</v>
      </c>
      <c r="AQ384" s="3" t="s">
        <v>58</v>
      </c>
      <c r="AS384" s="6" t="str">
        <f>HYPERLINK("https://creighton-primo.hosted.exlibrisgroup.com/primo-explore/search?tab=default_tab&amp;search_scope=EVERYTHING&amp;vid=01CRU&amp;lang=en_US&amp;offset=0&amp;query=any,contains,991002601979702656","Catalog Record")</f>
        <v>Catalog Record</v>
      </c>
      <c r="AT384" s="6" t="str">
        <f>HYPERLINK("http://www.worldcat.org/oclc/34079082","WorldCat Record")</f>
        <v>WorldCat Record</v>
      </c>
      <c r="AU384" s="3" t="s">
        <v>4920</v>
      </c>
      <c r="AV384" s="3" t="s">
        <v>4921</v>
      </c>
      <c r="AW384" s="3" t="s">
        <v>4922</v>
      </c>
      <c r="AX384" s="3" t="s">
        <v>4922</v>
      </c>
      <c r="AY384" s="3" t="s">
        <v>4923</v>
      </c>
      <c r="AZ384" s="3" t="s">
        <v>75</v>
      </c>
      <c r="BB384" s="3" t="s">
        <v>4924</v>
      </c>
      <c r="BC384" s="3" t="s">
        <v>4925</v>
      </c>
      <c r="BD384" s="3" t="s">
        <v>4926</v>
      </c>
    </row>
    <row r="385" spans="1:56" ht="39" customHeight="1" x14ac:dyDescent="0.25">
      <c r="A385" s="7" t="s">
        <v>58</v>
      </c>
      <c r="B385" s="2" t="s">
        <v>4927</v>
      </c>
      <c r="C385" s="2" t="s">
        <v>4928</v>
      </c>
      <c r="D385" s="2" t="s">
        <v>4929</v>
      </c>
      <c r="F385" s="3" t="s">
        <v>58</v>
      </c>
      <c r="G385" s="3" t="s">
        <v>59</v>
      </c>
      <c r="H385" s="3" t="s">
        <v>58</v>
      </c>
      <c r="I385" s="3" t="s">
        <v>58</v>
      </c>
      <c r="J385" s="3" t="s">
        <v>60</v>
      </c>
      <c r="K385" s="2" t="s">
        <v>4930</v>
      </c>
      <c r="L385" s="2" t="s">
        <v>4931</v>
      </c>
      <c r="M385" s="3" t="s">
        <v>1150</v>
      </c>
      <c r="O385" s="3" t="s">
        <v>65</v>
      </c>
      <c r="P385" s="3" t="s">
        <v>186</v>
      </c>
      <c r="R385" s="3" t="s">
        <v>68</v>
      </c>
      <c r="S385" s="4">
        <v>1</v>
      </c>
      <c r="T385" s="4">
        <v>1</v>
      </c>
      <c r="U385" s="5" t="s">
        <v>4932</v>
      </c>
      <c r="V385" s="5" t="s">
        <v>4932</v>
      </c>
      <c r="W385" s="5" t="s">
        <v>4933</v>
      </c>
      <c r="X385" s="5" t="s">
        <v>4933</v>
      </c>
      <c r="Y385" s="4">
        <v>413</v>
      </c>
      <c r="Z385" s="4">
        <v>370</v>
      </c>
      <c r="AA385" s="4">
        <v>372</v>
      </c>
      <c r="AB385" s="4">
        <v>5</v>
      </c>
      <c r="AC385" s="4">
        <v>5</v>
      </c>
      <c r="AD385" s="4">
        <v>13</v>
      </c>
      <c r="AE385" s="4">
        <v>13</v>
      </c>
      <c r="AF385" s="4">
        <v>3</v>
      </c>
      <c r="AG385" s="4">
        <v>3</v>
      </c>
      <c r="AH385" s="4">
        <v>1</v>
      </c>
      <c r="AI385" s="4">
        <v>1</v>
      </c>
      <c r="AJ385" s="4">
        <v>10</v>
      </c>
      <c r="AK385" s="4">
        <v>10</v>
      </c>
      <c r="AL385" s="4">
        <v>2</v>
      </c>
      <c r="AM385" s="4">
        <v>2</v>
      </c>
      <c r="AN385" s="4">
        <v>0</v>
      </c>
      <c r="AO385" s="4">
        <v>0</v>
      </c>
      <c r="AP385" s="3" t="s">
        <v>58</v>
      </c>
      <c r="AQ385" s="3" t="s">
        <v>132</v>
      </c>
      <c r="AR385" s="6" t="str">
        <f>HYPERLINK("http://catalog.hathitrust.org/Record/003099947","HathiTrust Record")</f>
        <v>HathiTrust Record</v>
      </c>
      <c r="AS385" s="6" t="str">
        <f>HYPERLINK("https://creighton-primo.hosted.exlibrisgroup.com/primo-explore/search?tab=default_tab&amp;search_scope=EVERYTHING&amp;vid=01CRU&amp;lang=en_US&amp;offset=0&amp;query=any,contains,991002696089702656","Catalog Record")</f>
        <v>Catalog Record</v>
      </c>
      <c r="AT385" s="6" t="str">
        <f>HYPERLINK("http://www.worldcat.org/oclc/35198710","WorldCat Record")</f>
        <v>WorldCat Record</v>
      </c>
      <c r="AU385" s="3" t="s">
        <v>4934</v>
      </c>
      <c r="AV385" s="3" t="s">
        <v>4935</v>
      </c>
      <c r="AW385" s="3" t="s">
        <v>4936</v>
      </c>
      <c r="AX385" s="3" t="s">
        <v>4936</v>
      </c>
      <c r="AY385" s="3" t="s">
        <v>4937</v>
      </c>
      <c r="AZ385" s="3" t="s">
        <v>75</v>
      </c>
      <c r="BB385" s="3" t="s">
        <v>4938</v>
      </c>
      <c r="BC385" s="3" t="s">
        <v>4939</v>
      </c>
      <c r="BD385" s="3" t="s">
        <v>4940</v>
      </c>
    </row>
    <row r="386" spans="1:56" ht="39" customHeight="1" x14ac:dyDescent="0.25">
      <c r="A386" s="7" t="s">
        <v>58</v>
      </c>
      <c r="B386" s="2" t="s">
        <v>4941</v>
      </c>
      <c r="C386" s="2" t="s">
        <v>4942</v>
      </c>
      <c r="D386" s="2" t="s">
        <v>4943</v>
      </c>
      <c r="F386" s="3" t="s">
        <v>58</v>
      </c>
      <c r="G386" s="3" t="s">
        <v>59</v>
      </c>
      <c r="H386" s="3" t="s">
        <v>58</v>
      </c>
      <c r="I386" s="3" t="s">
        <v>58</v>
      </c>
      <c r="J386" s="3" t="s">
        <v>60</v>
      </c>
      <c r="K386" s="2" t="s">
        <v>3120</v>
      </c>
      <c r="L386" s="2" t="s">
        <v>4944</v>
      </c>
      <c r="M386" s="3" t="s">
        <v>229</v>
      </c>
      <c r="O386" s="3" t="s">
        <v>65</v>
      </c>
      <c r="P386" s="3" t="s">
        <v>113</v>
      </c>
      <c r="Q386" s="2" t="s">
        <v>4945</v>
      </c>
      <c r="R386" s="3" t="s">
        <v>68</v>
      </c>
      <c r="S386" s="4">
        <v>9</v>
      </c>
      <c r="T386" s="4">
        <v>9</v>
      </c>
      <c r="U386" s="5" t="s">
        <v>362</v>
      </c>
      <c r="V386" s="5" t="s">
        <v>362</v>
      </c>
      <c r="W386" s="5" t="s">
        <v>4696</v>
      </c>
      <c r="X386" s="5" t="s">
        <v>4696</v>
      </c>
      <c r="Y386" s="4">
        <v>152</v>
      </c>
      <c r="Z386" s="4">
        <v>143</v>
      </c>
      <c r="AA386" s="4">
        <v>143</v>
      </c>
      <c r="AB386" s="4">
        <v>2</v>
      </c>
      <c r="AC386" s="4">
        <v>2</v>
      </c>
      <c r="AD386" s="4">
        <v>17</v>
      </c>
      <c r="AE386" s="4">
        <v>17</v>
      </c>
      <c r="AF386" s="4">
        <v>5</v>
      </c>
      <c r="AG386" s="4">
        <v>5</v>
      </c>
      <c r="AH386" s="4">
        <v>5</v>
      </c>
      <c r="AI386" s="4">
        <v>5</v>
      </c>
      <c r="AJ386" s="4">
        <v>13</v>
      </c>
      <c r="AK386" s="4">
        <v>13</v>
      </c>
      <c r="AL386" s="4">
        <v>0</v>
      </c>
      <c r="AM386" s="4">
        <v>0</v>
      </c>
      <c r="AN386" s="4">
        <v>0</v>
      </c>
      <c r="AO386" s="4">
        <v>0</v>
      </c>
      <c r="AP386" s="3" t="s">
        <v>58</v>
      </c>
      <c r="AQ386" s="3" t="s">
        <v>58</v>
      </c>
      <c r="AS386" s="6" t="str">
        <f>HYPERLINK("https://creighton-primo.hosted.exlibrisgroup.com/primo-explore/search?tab=default_tab&amp;search_scope=EVERYTHING&amp;vid=01CRU&amp;lang=en_US&amp;offset=0&amp;query=any,contains,991001521289702656","Catalog Record")</f>
        <v>Catalog Record</v>
      </c>
      <c r="AT386" s="6" t="str">
        <f>HYPERLINK("http://www.worldcat.org/oclc/20170633","WorldCat Record")</f>
        <v>WorldCat Record</v>
      </c>
      <c r="AU386" s="3" t="s">
        <v>4946</v>
      </c>
      <c r="AV386" s="3" t="s">
        <v>4947</v>
      </c>
      <c r="AW386" s="3" t="s">
        <v>4948</v>
      </c>
      <c r="AX386" s="3" t="s">
        <v>4948</v>
      </c>
      <c r="AY386" s="3" t="s">
        <v>4949</v>
      </c>
      <c r="AZ386" s="3" t="s">
        <v>75</v>
      </c>
      <c r="BB386" s="3" t="s">
        <v>4950</v>
      </c>
      <c r="BC386" s="3" t="s">
        <v>4951</v>
      </c>
      <c r="BD386" s="3" t="s">
        <v>4952</v>
      </c>
    </row>
    <row r="387" spans="1:56" ht="39" customHeight="1" x14ac:dyDescent="0.25">
      <c r="A387" s="7" t="s">
        <v>58</v>
      </c>
      <c r="B387" s="2" t="s">
        <v>4953</v>
      </c>
      <c r="C387" s="2" t="s">
        <v>4954</v>
      </c>
      <c r="D387" s="2" t="s">
        <v>4955</v>
      </c>
      <c r="F387" s="3" t="s">
        <v>58</v>
      </c>
      <c r="G387" s="3" t="s">
        <v>59</v>
      </c>
      <c r="H387" s="3" t="s">
        <v>58</v>
      </c>
      <c r="I387" s="3" t="s">
        <v>58</v>
      </c>
      <c r="J387" s="3" t="s">
        <v>60</v>
      </c>
      <c r="K387" s="2" t="s">
        <v>4956</v>
      </c>
      <c r="L387" s="2" t="s">
        <v>4957</v>
      </c>
      <c r="M387" s="3" t="s">
        <v>1046</v>
      </c>
      <c r="O387" s="3" t="s">
        <v>65</v>
      </c>
      <c r="P387" s="3" t="s">
        <v>230</v>
      </c>
      <c r="R387" s="3" t="s">
        <v>68</v>
      </c>
      <c r="S387" s="4">
        <v>3</v>
      </c>
      <c r="T387" s="4">
        <v>3</v>
      </c>
      <c r="U387" s="5" t="s">
        <v>4958</v>
      </c>
      <c r="V387" s="5" t="s">
        <v>4958</v>
      </c>
      <c r="W387" s="5" t="s">
        <v>4696</v>
      </c>
      <c r="X387" s="5" t="s">
        <v>4696</v>
      </c>
      <c r="Y387" s="4">
        <v>47</v>
      </c>
      <c r="Z387" s="4">
        <v>45</v>
      </c>
      <c r="AA387" s="4">
        <v>45</v>
      </c>
      <c r="AB387" s="4">
        <v>1</v>
      </c>
      <c r="AC387" s="4">
        <v>1</v>
      </c>
      <c r="AD387" s="4">
        <v>4</v>
      </c>
      <c r="AE387" s="4">
        <v>4</v>
      </c>
      <c r="AF387" s="4">
        <v>1</v>
      </c>
      <c r="AG387" s="4">
        <v>1</v>
      </c>
      <c r="AH387" s="4">
        <v>2</v>
      </c>
      <c r="AI387" s="4">
        <v>2</v>
      </c>
      <c r="AJ387" s="4">
        <v>2</v>
      </c>
      <c r="AK387" s="4">
        <v>2</v>
      </c>
      <c r="AL387" s="4">
        <v>0</v>
      </c>
      <c r="AM387" s="4">
        <v>0</v>
      </c>
      <c r="AN387" s="4">
        <v>0</v>
      </c>
      <c r="AO387" s="4">
        <v>0</v>
      </c>
      <c r="AP387" s="3" t="s">
        <v>58</v>
      </c>
      <c r="AQ387" s="3" t="s">
        <v>58</v>
      </c>
      <c r="AS387" s="6" t="str">
        <f>HYPERLINK("https://creighton-primo.hosted.exlibrisgroup.com/primo-explore/search?tab=default_tab&amp;search_scope=EVERYTHING&amp;vid=01CRU&amp;lang=en_US&amp;offset=0&amp;query=any,contains,991000703949702656","Catalog Record")</f>
        <v>Catalog Record</v>
      </c>
      <c r="AT387" s="6" t="str">
        <f>HYPERLINK("http://www.worldcat.org/oclc/12554467","WorldCat Record")</f>
        <v>WorldCat Record</v>
      </c>
      <c r="AU387" s="3" t="s">
        <v>4959</v>
      </c>
      <c r="AV387" s="3" t="s">
        <v>4960</v>
      </c>
      <c r="AW387" s="3" t="s">
        <v>4961</v>
      </c>
      <c r="AX387" s="3" t="s">
        <v>4961</v>
      </c>
      <c r="AY387" s="3" t="s">
        <v>4962</v>
      </c>
      <c r="AZ387" s="3" t="s">
        <v>75</v>
      </c>
      <c r="BB387" s="3" t="s">
        <v>4963</v>
      </c>
      <c r="BC387" s="3" t="s">
        <v>4964</v>
      </c>
      <c r="BD387" s="3" t="s">
        <v>4965</v>
      </c>
    </row>
    <row r="388" spans="1:56" ht="39" customHeight="1" x14ac:dyDescent="0.25">
      <c r="A388" s="7" t="s">
        <v>58</v>
      </c>
      <c r="B388" s="2" t="s">
        <v>4966</v>
      </c>
      <c r="C388" s="2" t="s">
        <v>4967</v>
      </c>
      <c r="D388" s="2" t="s">
        <v>4968</v>
      </c>
      <c r="F388" s="3" t="s">
        <v>58</v>
      </c>
      <c r="G388" s="3" t="s">
        <v>59</v>
      </c>
      <c r="H388" s="3" t="s">
        <v>58</v>
      </c>
      <c r="I388" s="3" t="s">
        <v>58</v>
      </c>
      <c r="J388" s="3" t="s">
        <v>60</v>
      </c>
      <c r="K388" s="2" t="s">
        <v>4969</v>
      </c>
      <c r="L388" s="2" t="s">
        <v>4970</v>
      </c>
      <c r="M388" s="3" t="s">
        <v>966</v>
      </c>
      <c r="O388" s="3" t="s">
        <v>65</v>
      </c>
      <c r="P388" s="3" t="s">
        <v>186</v>
      </c>
      <c r="Q388" s="2" t="s">
        <v>4971</v>
      </c>
      <c r="R388" s="3" t="s">
        <v>68</v>
      </c>
      <c r="S388" s="4">
        <v>5</v>
      </c>
      <c r="T388" s="4">
        <v>5</v>
      </c>
      <c r="U388" s="5" t="s">
        <v>4972</v>
      </c>
      <c r="V388" s="5" t="s">
        <v>4972</v>
      </c>
      <c r="W388" s="5" t="s">
        <v>4973</v>
      </c>
      <c r="X388" s="5" t="s">
        <v>4973</v>
      </c>
      <c r="Y388" s="4">
        <v>256</v>
      </c>
      <c r="Z388" s="4">
        <v>202</v>
      </c>
      <c r="AA388" s="4">
        <v>205</v>
      </c>
      <c r="AB388" s="4">
        <v>1</v>
      </c>
      <c r="AC388" s="4">
        <v>1</v>
      </c>
      <c r="AD388" s="4">
        <v>16</v>
      </c>
      <c r="AE388" s="4">
        <v>16</v>
      </c>
      <c r="AF388" s="4">
        <v>6</v>
      </c>
      <c r="AG388" s="4">
        <v>6</v>
      </c>
      <c r="AH388" s="4">
        <v>4</v>
      </c>
      <c r="AI388" s="4">
        <v>4</v>
      </c>
      <c r="AJ388" s="4">
        <v>9</v>
      </c>
      <c r="AK388" s="4">
        <v>9</v>
      </c>
      <c r="AL388" s="4">
        <v>0</v>
      </c>
      <c r="AM388" s="4">
        <v>0</v>
      </c>
      <c r="AN388" s="4">
        <v>0</v>
      </c>
      <c r="AO388" s="4">
        <v>0</v>
      </c>
      <c r="AP388" s="3" t="s">
        <v>58</v>
      </c>
      <c r="AQ388" s="3" t="s">
        <v>132</v>
      </c>
      <c r="AR388" s="6" t="str">
        <f>HYPERLINK("http://catalog.hathitrust.org/Record/002780449","HathiTrust Record")</f>
        <v>HathiTrust Record</v>
      </c>
      <c r="AS388" s="6" t="str">
        <f>HYPERLINK("https://creighton-primo.hosted.exlibrisgroup.com/primo-explore/search?tab=default_tab&amp;search_scope=EVERYTHING&amp;vid=01CRU&amp;lang=en_US&amp;offset=0&amp;query=any,contains,991002196999702656","Catalog Record")</f>
        <v>Catalog Record</v>
      </c>
      <c r="AT388" s="6" t="str">
        <f>HYPERLINK("http://www.worldcat.org/oclc/28255699","WorldCat Record")</f>
        <v>WorldCat Record</v>
      </c>
      <c r="AU388" s="3" t="s">
        <v>4974</v>
      </c>
      <c r="AV388" s="3" t="s">
        <v>4975</v>
      </c>
      <c r="AW388" s="3" t="s">
        <v>4976</v>
      </c>
      <c r="AX388" s="3" t="s">
        <v>4976</v>
      </c>
      <c r="AY388" s="3" t="s">
        <v>4977</v>
      </c>
      <c r="AZ388" s="3" t="s">
        <v>75</v>
      </c>
      <c r="BB388" s="3" t="s">
        <v>4978</v>
      </c>
      <c r="BC388" s="3" t="s">
        <v>4979</v>
      </c>
      <c r="BD388" s="3" t="s">
        <v>4980</v>
      </c>
    </row>
    <row r="389" spans="1:56" ht="39" customHeight="1" x14ac:dyDescent="0.25">
      <c r="A389" s="7" t="s">
        <v>58</v>
      </c>
      <c r="B389" s="2" t="s">
        <v>4981</v>
      </c>
      <c r="C389" s="2" t="s">
        <v>4982</v>
      </c>
      <c r="D389" s="2" t="s">
        <v>4983</v>
      </c>
      <c r="F389" s="3" t="s">
        <v>58</v>
      </c>
      <c r="G389" s="3" t="s">
        <v>59</v>
      </c>
      <c r="H389" s="3" t="s">
        <v>58</v>
      </c>
      <c r="I389" s="3" t="s">
        <v>58</v>
      </c>
      <c r="J389" s="3" t="s">
        <v>60</v>
      </c>
      <c r="L389" s="2" t="s">
        <v>4984</v>
      </c>
      <c r="M389" s="3" t="s">
        <v>1302</v>
      </c>
      <c r="O389" s="3" t="s">
        <v>65</v>
      </c>
      <c r="P389" s="3" t="s">
        <v>158</v>
      </c>
      <c r="R389" s="3" t="s">
        <v>68</v>
      </c>
      <c r="S389" s="4">
        <v>5</v>
      </c>
      <c r="T389" s="4">
        <v>5</v>
      </c>
      <c r="U389" s="5" t="s">
        <v>4985</v>
      </c>
      <c r="V389" s="5" t="s">
        <v>4985</v>
      </c>
      <c r="W389" s="5" t="s">
        <v>4986</v>
      </c>
      <c r="X389" s="5" t="s">
        <v>4986</v>
      </c>
      <c r="Y389" s="4">
        <v>257</v>
      </c>
      <c r="Z389" s="4">
        <v>197</v>
      </c>
      <c r="AA389" s="4">
        <v>197</v>
      </c>
      <c r="AB389" s="4">
        <v>1</v>
      </c>
      <c r="AC389" s="4">
        <v>1</v>
      </c>
      <c r="AD389" s="4">
        <v>11</v>
      </c>
      <c r="AE389" s="4">
        <v>11</v>
      </c>
      <c r="AF389" s="4">
        <v>5</v>
      </c>
      <c r="AG389" s="4">
        <v>5</v>
      </c>
      <c r="AH389" s="4">
        <v>3</v>
      </c>
      <c r="AI389" s="4">
        <v>3</v>
      </c>
      <c r="AJ389" s="4">
        <v>6</v>
      </c>
      <c r="AK389" s="4">
        <v>6</v>
      </c>
      <c r="AL389" s="4">
        <v>0</v>
      </c>
      <c r="AM389" s="4">
        <v>0</v>
      </c>
      <c r="AN389" s="4">
        <v>0</v>
      </c>
      <c r="AO389" s="4">
        <v>0</v>
      </c>
      <c r="AP389" s="3" t="s">
        <v>58</v>
      </c>
      <c r="AQ389" s="3" t="s">
        <v>58</v>
      </c>
      <c r="AS389" s="6" t="str">
        <f>HYPERLINK("https://creighton-primo.hosted.exlibrisgroup.com/primo-explore/search?tab=default_tab&amp;search_scope=EVERYTHING&amp;vid=01CRU&amp;lang=en_US&amp;offset=0&amp;query=any,contains,991004222319702656","Catalog Record")</f>
        <v>Catalog Record</v>
      </c>
      <c r="AT389" s="6" t="str">
        <f>HYPERLINK("http://www.worldcat.org/oclc/49618505","WorldCat Record")</f>
        <v>WorldCat Record</v>
      </c>
      <c r="AU389" s="3" t="s">
        <v>4987</v>
      </c>
      <c r="AV389" s="3" t="s">
        <v>4988</v>
      </c>
      <c r="AW389" s="3" t="s">
        <v>4989</v>
      </c>
      <c r="AX389" s="3" t="s">
        <v>4989</v>
      </c>
      <c r="AY389" s="3" t="s">
        <v>4990</v>
      </c>
      <c r="AZ389" s="3" t="s">
        <v>75</v>
      </c>
      <c r="BB389" s="3" t="s">
        <v>4991</v>
      </c>
      <c r="BC389" s="3" t="s">
        <v>4992</v>
      </c>
      <c r="BD389" s="3" t="s">
        <v>4993</v>
      </c>
    </row>
    <row r="390" spans="1:56" ht="39" customHeight="1" x14ac:dyDescent="0.25">
      <c r="A390" s="7" t="s">
        <v>58</v>
      </c>
      <c r="B390" s="2" t="s">
        <v>4994</v>
      </c>
      <c r="C390" s="2" t="s">
        <v>4995</v>
      </c>
      <c r="D390" s="2" t="s">
        <v>4996</v>
      </c>
      <c r="F390" s="3" t="s">
        <v>58</v>
      </c>
      <c r="G390" s="3" t="s">
        <v>59</v>
      </c>
      <c r="H390" s="3" t="s">
        <v>58</v>
      </c>
      <c r="I390" s="3" t="s">
        <v>58</v>
      </c>
      <c r="J390" s="3" t="s">
        <v>60</v>
      </c>
      <c r="K390" s="2" t="s">
        <v>4997</v>
      </c>
      <c r="L390" s="2" t="s">
        <v>4998</v>
      </c>
      <c r="M390" s="3" t="s">
        <v>3356</v>
      </c>
      <c r="O390" s="3" t="s">
        <v>65</v>
      </c>
      <c r="P390" s="3" t="s">
        <v>3202</v>
      </c>
      <c r="R390" s="3" t="s">
        <v>68</v>
      </c>
      <c r="S390" s="4">
        <v>1</v>
      </c>
      <c r="T390" s="4">
        <v>1</v>
      </c>
      <c r="U390" s="5" t="s">
        <v>4999</v>
      </c>
      <c r="V390" s="5" t="s">
        <v>4999</v>
      </c>
      <c r="W390" s="5" t="s">
        <v>131</v>
      </c>
      <c r="X390" s="5" t="s">
        <v>131</v>
      </c>
      <c r="Y390" s="4">
        <v>109</v>
      </c>
      <c r="Z390" s="4">
        <v>101</v>
      </c>
      <c r="AA390" s="4">
        <v>105</v>
      </c>
      <c r="AB390" s="4">
        <v>2</v>
      </c>
      <c r="AC390" s="4">
        <v>2</v>
      </c>
      <c r="AD390" s="4">
        <v>13</v>
      </c>
      <c r="AE390" s="4">
        <v>13</v>
      </c>
      <c r="AF390" s="4">
        <v>2</v>
      </c>
      <c r="AG390" s="4">
        <v>2</v>
      </c>
      <c r="AH390" s="4">
        <v>1</v>
      </c>
      <c r="AI390" s="4">
        <v>1</v>
      </c>
      <c r="AJ390" s="4">
        <v>12</v>
      </c>
      <c r="AK390" s="4">
        <v>12</v>
      </c>
      <c r="AL390" s="4">
        <v>0</v>
      </c>
      <c r="AM390" s="4">
        <v>0</v>
      </c>
      <c r="AN390" s="4">
        <v>0</v>
      </c>
      <c r="AO390" s="4">
        <v>0</v>
      </c>
      <c r="AP390" s="3" t="s">
        <v>58</v>
      </c>
      <c r="AQ390" s="3" t="s">
        <v>58</v>
      </c>
      <c r="AS390" s="6" t="str">
        <f>HYPERLINK("https://creighton-primo.hosted.exlibrisgroup.com/primo-explore/search?tab=default_tab&amp;search_scope=EVERYTHING&amp;vid=01CRU&amp;lang=en_US&amp;offset=0&amp;query=any,contains,991004511259702656","Catalog Record")</f>
        <v>Catalog Record</v>
      </c>
      <c r="AT390" s="6" t="str">
        <f>HYPERLINK("http://www.worldcat.org/oclc/3766725","WorldCat Record")</f>
        <v>WorldCat Record</v>
      </c>
      <c r="AU390" s="3" t="s">
        <v>5000</v>
      </c>
      <c r="AV390" s="3" t="s">
        <v>5001</v>
      </c>
      <c r="AW390" s="3" t="s">
        <v>5002</v>
      </c>
      <c r="AX390" s="3" t="s">
        <v>5002</v>
      </c>
      <c r="AY390" s="3" t="s">
        <v>5003</v>
      </c>
      <c r="AZ390" s="3" t="s">
        <v>75</v>
      </c>
      <c r="BC390" s="3" t="s">
        <v>5004</v>
      </c>
      <c r="BD390" s="3" t="s">
        <v>5005</v>
      </c>
    </row>
    <row r="391" spans="1:56" ht="39" customHeight="1" x14ac:dyDescent="0.25">
      <c r="A391" s="7" t="s">
        <v>58</v>
      </c>
      <c r="B391" s="2" t="s">
        <v>5006</v>
      </c>
      <c r="C391" s="2" t="s">
        <v>5007</v>
      </c>
      <c r="D391" s="2" t="s">
        <v>5008</v>
      </c>
      <c r="F391" s="3" t="s">
        <v>58</v>
      </c>
      <c r="G391" s="3" t="s">
        <v>59</v>
      </c>
      <c r="H391" s="3" t="s">
        <v>58</v>
      </c>
      <c r="I391" s="3" t="s">
        <v>58</v>
      </c>
      <c r="J391" s="3" t="s">
        <v>60</v>
      </c>
      <c r="K391" s="2" t="s">
        <v>5009</v>
      </c>
      <c r="L391" s="2" t="s">
        <v>5010</v>
      </c>
      <c r="M391" s="3" t="s">
        <v>5011</v>
      </c>
      <c r="O391" s="3" t="s">
        <v>65</v>
      </c>
      <c r="P391" s="3" t="s">
        <v>66</v>
      </c>
      <c r="R391" s="3" t="s">
        <v>68</v>
      </c>
      <c r="S391" s="4">
        <v>1</v>
      </c>
      <c r="T391" s="4">
        <v>1</v>
      </c>
      <c r="U391" s="5" t="s">
        <v>5012</v>
      </c>
      <c r="V391" s="5" t="s">
        <v>5012</v>
      </c>
      <c r="W391" s="5" t="s">
        <v>5013</v>
      </c>
      <c r="X391" s="5" t="s">
        <v>5013</v>
      </c>
      <c r="Y391" s="4">
        <v>28</v>
      </c>
      <c r="Z391" s="4">
        <v>21</v>
      </c>
      <c r="AA391" s="4">
        <v>43</v>
      </c>
      <c r="AB391" s="4">
        <v>1</v>
      </c>
      <c r="AC391" s="4">
        <v>1</v>
      </c>
      <c r="AD391" s="4">
        <v>9</v>
      </c>
      <c r="AE391" s="4">
        <v>13</v>
      </c>
      <c r="AF391" s="4">
        <v>2</v>
      </c>
      <c r="AG391" s="4">
        <v>4</v>
      </c>
      <c r="AH391" s="4">
        <v>3</v>
      </c>
      <c r="AI391" s="4">
        <v>5</v>
      </c>
      <c r="AJ391" s="4">
        <v>7</v>
      </c>
      <c r="AK391" s="4">
        <v>10</v>
      </c>
      <c r="AL391" s="4">
        <v>0</v>
      </c>
      <c r="AM391" s="4">
        <v>0</v>
      </c>
      <c r="AN391" s="4">
        <v>0</v>
      </c>
      <c r="AO391" s="4">
        <v>0</v>
      </c>
      <c r="AP391" s="3" t="s">
        <v>132</v>
      </c>
      <c r="AQ391" s="3" t="s">
        <v>58</v>
      </c>
      <c r="AR391" s="6" t="str">
        <f>HYPERLINK("http://catalog.hathitrust.org/Record/102145888","HathiTrust Record")</f>
        <v>HathiTrust Record</v>
      </c>
      <c r="AS391" s="6" t="str">
        <f>HYPERLINK("https://creighton-primo.hosted.exlibrisgroup.com/primo-explore/search?tab=default_tab&amp;search_scope=EVERYTHING&amp;vid=01CRU&amp;lang=en_US&amp;offset=0&amp;query=any,contains,991004707189702656","Catalog Record")</f>
        <v>Catalog Record</v>
      </c>
      <c r="AT391" s="6" t="str">
        <f>HYPERLINK("http://www.worldcat.org/oclc/4725454","WorldCat Record")</f>
        <v>WorldCat Record</v>
      </c>
      <c r="AU391" s="3" t="s">
        <v>5014</v>
      </c>
      <c r="AV391" s="3" t="s">
        <v>5015</v>
      </c>
      <c r="AW391" s="3" t="s">
        <v>5016</v>
      </c>
      <c r="AX391" s="3" t="s">
        <v>5016</v>
      </c>
      <c r="AY391" s="3" t="s">
        <v>5017</v>
      </c>
      <c r="AZ391" s="3" t="s">
        <v>75</v>
      </c>
      <c r="BC391" s="3" t="s">
        <v>5018</v>
      </c>
      <c r="BD391" s="3" t="s">
        <v>5019</v>
      </c>
    </row>
    <row r="392" spans="1:56" ht="39" customHeight="1" x14ac:dyDescent="0.25">
      <c r="A392" s="7" t="s">
        <v>58</v>
      </c>
      <c r="B392" s="2" t="s">
        <v>5020</v>
      </c>
      <c r="C392" s="2" t="s">
        <v>5021</v>
      </c>
      <c r="D392" s="2" t="s">
        <v>5022</v>
      </c>
      <c r="F392" s="3" t="s">
        <v>58</v>
      </c>
      <c r="G392" s="3" t="s">
        <v>59</v>
      </c>
      <c r="H392" s="3" t="s">
        <v>58</v>
      </c>
      <c r="I392" s="3" t="s">
        <v>58</v>
      </c>
      <c r="J392" s="3" t="s">
        <v>60</v>
      </c>
      <c r="K392" s="2" t="s">
        <v>5023</v>
      </c>
      <c r="L392" s="2" t="s">
        <v>5024</v>
      </c>
      <c r="M392" s="3" t="s">
        <v>215</v>
      </c>
      <c r="O392" s="3" t="s">
        <v>65</v>
      </c>
      <c r="P392" s="3" t="s">
        <v>66</v>
      </c>
      <c r="R392" s="3" t="s">
        <v>68</v>
      </c>
      <c r="S392" s="4">
        <v>2</v>
      </c>
      <c r="T392" s="4">
        <v>2</v>
      </c>
      <c r="U392" s="5" t="s">
        <v>5025</v>
      </c>
      <c r="V392" s="5" t="s">
        <v>5025</v>
      </c>
      <c r="W392" s="5" t="s">
        <v>5026</v>
      </c>
      <c r="X392" s="5" t="s">
        <v>5026</v>
      </c>
      <c r="Y392" s="4">
        <v>304</v>
      </c>
      <c r="Z392" s="4">
        <v>218</v>
      </c>
      <c r="AA392" s="4">
        <v>232</v>
      </c>
      <c r="AB392" s="4">
        <v>3</v>
      </c>
      <c r="AC392" s="4">
        <v>3</v>
      </c>
      <c r="AD392" s="4">
        <v>14</v>
      </c>
      <c r="AE392" s="4">
        <v>15</v>
      </c>
      <c r="AF392" s="4">
        <v>2</v>
      </c>
      <c r="AG392" s="4">
        <v>3</v>
      </c>
      <c r="AH392" s="4">
        <v>4</v>
      </c>
      <c r="AI392" s="4">
        <v>4</v>
      </c>
      <c r="AJ392" s="4">
        <v>9</v>
      </c>
      <c r="AK392" s="4">
        <v>9</v>
      </c>
      <c r="AL392" s="4">
        <v>2</v>
      </c>
      <c r="AM392" s="4">
        <v>2</v>
      </c>
      <c r="AN392" s="4">
        <v>0</v>
      </c>
      <c r="AO392" s="4">
        <v>0</v>
      </c>
      <c r="AP392" s="3" t="s">
        <v>58</v>
      </c>
      <c r="AQ392" s="3" t="s">
        <v>58</v>
      </c>
      <c r="AS392" s="6" t="str">
        <f>HYPERLINK("https://creighton-primo.hosted.exlibrisgroup.com/primo-explore/search?tab=default_tab&amp;search_scope=EVERYTHING&amp;vid=01CRU&amp;lang=en_US&amp;offset=0&amp;query=any,contains,991005182169702656","Catalog Record")</f>
        <v>Catalog Record</v>
      </c>
      <c r="AT392" s="6" t="str">
        <f>HYPERLINK("http://www.worldcat.org/oclc/13823387","WorldCat Record")</f>
        <v>WorldCat Record</v>
      </c>
      <c r="AU392" s="3" t="s">
        <v>5027</v>
      </c>
      <c r="AV392" s="3" t="s">
        <v>5028</v>
      </c>
      <c r="AW392" s="3" t="s">
        <v>5029</v>
      </c>
      <c r="AX392" s="3" t="s">
        <v>5029</v>
      </c>
      <c r="AY392" s="3" t="s">
        <v>5030</v>
      </c>
      <c r="AZ392" s="3" t="s">
        <v>75</v>
      </c>
      <c r="BB392" s="3" t="s">
        <v>5031</v>
      </c>
      <c r="BC392" s="3" t="s">
        <v>5032</v>
      </c>
      <c r="BD392" s="3" t="s">
        <v>5033</v>
      </c>
    </row>
    <row r="393" spans="1:56" ht="39" customHeight="1" x14ac:dyDescent="0.25">
      <c r="A393" s="7" t="s">
        <v>58</v>
      </c>
      <c r="B393" s="2" t="s">
        <v>5034</v>
      </c>
      <c r="C393" s="2" t="s">
        <v>5035</v>
      </c>
      <c r="D393" s="2" t="s">
        <v>5036</v>
      </c>
      <c r="F393" s="3" t="s">
        <v>58</v>
      </c>
      <c r="G393" s="3" t="s">
        <v>59</v>
      </c>
      <c r="H393" s="3" t="s">
        <v>58</v>
      </c>
      <c r="I393" s="3" t="s">
        <v>58</v>
      </c>
      <c r="J393" s="3" t="s">
        <v>60</v>
      </c>
      <c r="K393" s="2" t="s">
        <v>1176</v>
      </c>
      <c r="L393" s="2" t="s">
        <v>5037</v>
      </c>
      <c r="M393" s="3" t="s">
        <v>303</v>
      </c>
      <c r="O393" s="3" t="s">
        <v>65</v>
      </c>
      <c r="P393" s="3" t="s">
        <v>84</v>
      </c>
      <c r="R393" s="3" t="s">
        <v>68</v>
      </c>
      <c r="S393" s="4">
        <v>2</v>
      </c>
      <c r="T393" s="4">
        <v>2</v>
      </c>
      <c r="U393" s="5" t="s">
        <v>5038</v>
      </c>
      <c r="V393" s="5" t="s">
        <v>5038</v>
      </c>
      <c r="W393" s="5" t="s">
        <v>4696</v>
      </c>
      <c r="X393" s="5" t="s">
        <v>4696</v>
      </c>
      <c r="Y393" s="4">
        <v>519</v>
      </c>
      <c r="Z393" s="4">
        <v>425</v>
      </c>
      <c r="AA393" s="4">
        <v>452</v>
      </c>
      <c r="AB393" s="4">
        <v>4</v>
      </c>
      <c r="AC393" s="4">
        <v>4</v>
      </c>
      <c r="AD393" s="4">
        <v>36</v>
      </c>
      <c r="AE393" s="4">
        <v>38</v>
      </c>
      <c r="AF393" s="4">
        <v>14</v>
      </c>
      <c r="AG393" s="4">
        <v>15</v>
      </c>
      <c r="AH393" s="4">
        <v>8</v>
      </c>
      <c r="AI393" s="4">
        <v>8</v>
      </c>
      <c r="AJ393" s="4">
        <v>25</v>
      </c>
      <c r="AK393" s="4">
        <v>26</v>
      </c>
      <c r="AL393" s="4">
        <v>2</v>
      </c>
      <c r="AM393" s="4">
        <v>2</v>
      </c>
      <c r="AN393" s="4">
        <v>0</v>
      </c>
      <c r="AO393" s="4">
        <v>0</v>
      </c>
      <c r="AP393" s="3" t="s">
        <v>58</v>
      </c>
      <c r="AQ393" s="3" t="s">
        <v>58</v>
      </c>
      <c r="AS393" s="6" t="str">
        <f>HYPERLINK("https://creighton-primo.hosted.exlibrisgroup.com/primo-explore/search?tab=default_tab&amp;search_scope=EVERYTHING&amp;vid=01CRU&amp;lang=en_US&amp;offset=0&amp;query=any,contains,991004140939702656","Catalog Record")</f>
        <v>Catalog Record</v>
      </c>
      <c r="AT393" s="6" t="str">
        <f>HYPERLINK("http://www.worldcat.org/oclc/2498166","WorldCat Record")</f>
        <v>WorldCat Record</v>
      </c>
      <c r="AU393" s="3" t="s">
        <v>5039</v>
      </c>
      <c r="AV393" s="3" t="s">
        <v>5040</v>
      </c>
      <c r="AW393" s="3" t="s">
        <v>5041</v>
      </c>
      <c r="AX393" s="3" t="s">
        <v>5041</v>
      </c>
      <c r="AY393" s="3" t="s">
        <v>5042</v>
      </c>
      <c r="AZ393" s="3" t="s">
        <v>75</v>
      </c>
      <c r="BB393" s="3" t="s">
        <v>5043</v>
      </c>
      <c r="BC393" s="3" t="s">
        <v>5044</v>
      </c>
      <c r="BD393" s="3" t="s">
        <v>5045</v>
      </c>
    </row>
    <row r="394" spans="1:56" ht="39" customHeight="1" x14ac:dyDescent="0.25">
      <c r="A394" s="7" t="s">
        <v>58</v>
      </c>
      <c r="B394" s="2" t="s">
        <v>5046</v>
      </c>
      <c r="C394" s="2" t="s">
        <v>5047</v>
      </c>
      <c r="D394" s="2" t="s">
        <v>5048</v>
      </c>
      <c r="F394" s="3" t="s">
        <v>58</v>
      </c>
      <c r="G394" s="3" t="s">
        <v>59</v>
      </c>
      <c r="H394" s="3" t="s">
        <v>58</v>
      </c>
      <c r="I394" s="3" t="s">
        <v>58</v>
      </c>
      <c r="J394" s="3" t="s">
        <v>60</v>
      </c>
      <c r="K394" s="2" t="s">
        <v>5049</v>
      </c>
      <c r="L394" s="2" t="s">
        <v>5050</v>
      </c>
      <c r="M394" s="3" t="s">
        <v>1723</v>
      </c>
      <c r="N394" s="2" t="s">
        <v>5051</v>
      </c>
      <c r="O394" s="3" t="s">
        <v>65</v>
      </c>
      <c r="P394" s="3" t="s">
        <v>477</v>
      </c>
      <c r="R394" s="3" t="s">
        <v>68</v>
      </c>
      <c r="S394" s="4">
        <v>2</v>
      </c>
      <c r="T394" s="4">
        <v>2</v>
      </c>
      <c r="U394" s="5" t="s">
        <v>5052</v>
      </c>
      <c r="V394" s="5" t="s">
        <v>5052</v>
      </c>
      <c r="W394" s="5" t="s">
        <v>5053</v>
      </c>
      <c r="X394" s="5" t="s">
        <v>5053</v>
      </c>
      <c r="Y394" s="4">
        <v>45</v>
      </c>
      <c r="Z394" s="4">
        <v>34</v>
      </c>
      <c r="AA394" s="4">
        <v>1088</v>
      </c>
      <c r="AB394" s="4">
        <v>1</v>
      </c>
      <c r="AC394" s="4">
        <v>6</v>
      </c>
      <c r="AD394" s="4">
        <v>1</v>
      </c>
      <c r="AE394" s="4">
        <v>33</v>
      </c>
      <c r="AF394" s="4">
        <v>0</v>
      </c>
      <c r="AG394" s="4">
        <v>14</v>
      </c>
      <c r="AH394" s="4">
        <v>0</v>
      </c>
      <c r="AI394" s="4">
        <v>5</v>
      </c>
      <c r="AJ394" s="4">
        <v>1</v>
      </c>
      <c r="AK394" s="4">
        <v>12</v>
      </c>
      <c r="AL394" s="4">
        <v>0</v>
      </c>
      <c r="AM394" s="4">
        <v>5</v>
      </c>
      <c r="AN394" s="4">
        <v>0</v>
      </c>
      <c r="AO394" s="4">
        <v>1</v>
      </c>
      <c r="AP394" s="3" t="s">
        <v>58</v>
      </c>
      <c r="AQ394" s="3" t="s">
        <v>58</v>
      </c>
      <c r="AS394" s="6" t="str">
        <f>HYPERLINK("https://creighton-primo.hosted.exlibrisgroup.com/primo-explore/search?tab=default_tab&amp;search_scope=EVERYTHING&amp;vid=01CRU&amp;lang=en_US&amp;offset=0&amp;query=any,contains,991003534969702656","Catalog Record")</f>
        <v>Catalog Record</v>
      </c>
      <c r="AT394" s="6" t="str">
        <f>HYPERLINK("http://www.worldcat.org/oclc/46943339","WorldCat Record")</f>
        <v>WorldCat Record</v>
      </c>
      <c r="AU394" s="3" t="s">
        <v>5054</v>
      </c>
      <c r="AV394" s="3" t="s">
        <v>5055</v>
      </c>
      <c r="AW394" s="3" t="s">
        <v>5056</v>
      </c>
      <c r="AX394" s="3" t="s">
        <v>5056</v>
      </c>
      <c r="AY394" s="3" t="s">
        <v>5057</v>
      </c>
      <c r="AZ394" s="3" t="s">
        <v>75</v>
      </c>
      <c r="BB394" s="3" t="s">
        <v>5058</v>
      </c>
      <c r="BC394" s="3" t="s">
        <v>5059</v>
      </c>
      <c r="BD394" s="3" t="s">
        <v>5060</v>
      </c>
    </row>
    <row r="395" spans="1:56" ht="39" customHeight="1" x14ac:dyDescent="0.25">
      <c r="A395" s="7" t="s">
        <v>58</v>
      </c>
      <c r="B395" s="2" t="s">
        <v>5061</v>
      </c>
      <c r="C395" s="2" t="s">
        <v>5062</v>
      </c>
      <c r="D395" s="2" t="s">
        <v>5063</v>
      </c>
      <c r="F395" s="3" t="s">
        <v>58</v>
      </c>
      <c r="G395" s="3" t="s">
        <v>59</v>
      </c>
      <c r="H395" s="3" t="s">
        <v>58</v>
      </c>
      <c r="I395" s="3" t="s">
        <v>58</v>
      </c>
      <c r="J395" s="3" t="s">
        <v>60</v>
      </c>
      <c r="K395" s="2" t="s">
        <v>5064</v>
      </c>
      <c r="L395" s="2" t="s">
        <v>5065</v>
      </c>
      <c r="M395" s="3" t="s">
        <v>1046</v>
      </c>
      <c r="N395" s="2" t="s">
        <v>5066</v>
      </c>
      <c r="O395" s="3" t="s">
        <v>65</v>
      </c>
      <c r="P395" s="3" t="s">
        <v>477</v>
      </c>
      <c r="R395" s="3" t="s">
        <v>68</v>
      </c>
      <c r="S395" s="4">
        <v>6</v>
      </c>
      <c r="T395" s="4">
        <v>6</v>
      </c>
      <c r="U395" s="5" t="s">
        <v>5067</v>
      </c>
      <c r="V395" s="5" t="s">
        <v>5067</v>
      </c>
      <c r="W395" s="5" t="s">
        <v>4696</v>
      </c>
      <c r="X395" s="5" t="s">
        <v>4696</v>
      </c>
      <c r="Y395" s="4">
        <v>35</v>
      </c>
      <c r="Z395" s="4">
        <v>35</v>
      </c>
      <c r="AA395" s="4">
        <v>255</v>
      </c>
      <c r="AB395" s="4">
        <v>1</v>
      </c>
      <c r="AC395" s="4">
        <v>3</v>
      </c>
      <c r="AD395" s="4">
        <v>3</v>
      </c>
      <c r="AE395" s="4">
        <v>19</v>
      </c>
      <c r="AF395" s="4">
        <v>1</v>
      </c>
      <c r="AG395" s="4">
        <v>4</v>
      </c>
      <c r="AH395" s="4">
        <v>0</v>
      </c>
      <c r="AI395" s="4">
        <v>3</v>
      </c>
      <c r="AJ395" s="4">
        <v>3</v>
      </c>
      <c r="AK395" s="4">
        <v>13</v>
      </c>
      <c r="AL395" s="4">
        <v>0</v>
      </c>
      <c r="AM395" s="4">
        <v>2</v>
      </c>
      <c r="AN395" s="4">
        <v>0</v>
      </c>
      <c r="AO395" s="4">
        <v>0</v>
      </c>
      <c r="AP395" s="3" t="s">
        <v>58</v>
      </c>
      <c r="AQ395" s="3" t="s">
        <v>58</v>
      </c>
      <c r="AS395" s="6" t="str">
        <f>HYPERLINK("https://creighton-primo.hosted.exlibrisgroup.com/primo-explore/search?tab=default_tab&amp;search_scope=EVERYTHING&amp;vid=01CRU&amp;lang=en_US&amp;offset=0&amp;query=any,contains,991000858079702656","Catalog Record")</f>
        <v>Catalog Record</v>
      </c>
      <c r="AT395" s="6" t="str">
        <f>HYPERLINK("http://www.worldcat.org/oclc/13667233","WorldCat Record")</f>
        <v>WorldCat Record</v>
      </c>
      <c r="AU395" s="3" t="s">
        <v>5068</v>
      </c>
      <c r="AV395" s="3" t="s">
        <v>5069</v>
      </c>
      <c r="AW395" s="3" t="s">
        <v>5070</v>
      </c>
      <c r="AX395" s="3" t="s">
        <v>5070</v>
      </c>
      <c r="AY395" s="3" t="s">
        <v>5071</v>
      </c>
      <c r="AZ395" s="3" t="s">
        <v>75</v>
      </c>
      <c r="BB395" s="3" t="s">
        <v>5072</v>
      </c>
      <c r="BC395" s="3" t="s">
        <v>5073</v>
      </c>
      <c r="BD395" s="3" t="s">
        <v>5074</v>
      </c>
    </row>
    <row r="396" spans="1:56" ht="39" customHeight="1" x14ac:dyDescent="0.25">
      <c r="A396" s="7" t="s">
        <v>58</v>
      </c>
      <c r="B396" s="2" t="s">
        <v>5075</v>
      </c>
      <c r="C396" s="2" t="s">
        <v>5076</v>
      </c>
      <c r="D396" s="2" t="s">
        <v>5077</v>
      </c>
      <c r="F396" s="3" t="s">
        <v>58</v>
      </c>
      <c r="G396" s="3" t="s">
        <v>59</v>
      </c>
      <c r="H396" s="3" t="s">
        <v>58</v>
      </c>
      <c r="I396" s="3" t="s">
        <v>58</v>
      </c>
      <c r="J396" s="3" t="s">
        <v>60</v>
      </c>
      <c r="K396" s="2" t="s">
        <v>5078</v>
      </c>
      <c r="L396" s="2" t="s">
        <v>5079</v>
      </c>
      <c r="M396" s="3" t="s">
        <v>229</v>
      </c>
      <c r="O396" s="3" t="s">
        <v>65</v>
      </c>
      <c r="P396" s="3" t="s">
        <v>304</v>
      </c>
      <c r="R396" s="3" t="s">
        <v>68</v>
      </c>
      <c r="S396" s="4">
        <v>1</v>
      </c>
      <c r="T396" s="4">
        <v>1</v>
      </c>
      <c r="U396" s="5" t="s">
        <v>5080</v>
      </c>
      <c r="V396" s="5" t="s">
        <v>5080</v>
      </c>
      <c r="W396" s="5" t="s">
        <v>5080</v>
      </c>
      <c r="X396" s="5" t="s">
        <v>5080</v>
      </c>
      <c r="Y396" s="4">
        <v>159</v>
      </c>
      <c r="Z396" s="4">
        <v>130</v>
      </c>
      <c r="AA396" s="4">
        <v>130</v>
      </c>
      <c r="AB396" s="4">
        <v>1</v>
      </c>
      <c r="AC396" s="4">
        <v>1</v>
      </c>
      <c r="AD396" s="4">
        <v>14</v>
      </c>
      <c r="AE396" s="4">
        <v>14</v>
      </c>
      <c r="AF396" s="4">
        <v>5</v>
      </c>
      <c r="AG396" s="4">
        <v>5</v>
      </c>
      <c r="AH396" s="4">
        <v>1</v>
      </c>
      <c r="AI396" s="4">
        <v>1</v>
      </c>
      <c r="AJ396" s="4">
        <v>11</v>
      </c>
      <c r="AK396" s="4">
        <v>11</v>
      </c>
      <c r="AL396" s="4">
        <v>0</v>
      </c>
      <c r="AM396" s="4">
        <v>0</v>
      </c>
      <c r="AN396" s="4">
        <v>0</v>
      </c>
      <c r="AO396" s="4">
        <v>0</v>
      </c>
      <c r="AP396" s="3" t="s">
        <v>58</v>
      </c>
      <c r="AQ396" s="3" t="s">
        <v>58</v>
      </c>
      <c r="AS396" s="6" t="str">
        <f>HYPERLINK("https://creighton-primo.hosted.exlibrisgroup.com/primo-explore/search?tab=default_tab&amp;search_scope=EVERYTHING&amp;vid=01CRU&amp;lang=en_US&amp;offset=0&amp;query=any,contains,991005232359702656","Catalog Record")</f>
        <v>Catalog Record</v>
      </c>
      <c r="AT396" s="6" t="str">
        <f>HYPERLINK("http://www.worldcat.org/oclc/19844917","WorldCat Record")</f>
        <v>WorldCat Record</v>
      </c>
      <c r="AU396" s="3" t="s">
        <v>5081</v>
      </c>
      <c r="AV396" s="3" t="s">
        <v>5082</v>
      </c>
      <c r="AW396" s="3" t="s">
        <v>5083</v>
      </c>
      <c r="AX396" s="3" t="s">
        <v>5083</v>
      </c>
      <c r="AY396" s="3" t="s">
        <v>5084</v>
      </c>
      <c r="AZ396" s="3" t="s">
        <v>75</v>
      </c>
      <c r="BB396" s="3" t="s">
        <v>5085</v>
      </c>
      <c r="BC396" s="3" t="s">
        <v>5086</v>
      </c>
      <c r="BD396" s="3" t="s">
        <v>5087</v>
      </c>
    </row>
    <row r="397" spans="1:56" ht="39" customHeight="1" x14ac:dyDescent="0.25">
      <c r="A397" s="7" t="s">
        <v>58</v>
      </c>
      <c r="B397" s="2" t="s">
        <v>5088</v>
      </c>
      <c r="C397" s="2" t="s">
        <v>5089</v>
      </c>
      <c r="D397" s="2" t="s">
        <v>5090</v>
      </c>
      <c r="F397" s="3" t="s">
        <v>58</v>
      </c>
      <c r="G397" s="3" t="s">
        <v>59</v>
      </c>
      <c r="H397" s="3" t="s">
        <v>58</v>
      </c>
      <c r="I397" s="3" t="s">
        <v>58</v>
      </c>
      <c r="J397" s="3" t="s">
        <v>60</v>
      </c>
      <c r="K397" s="2" t="s">
        <v>5091</v>
      </c>
      <c r="L397" s="2" t="s">
        <v>5092</v>
      </c>
      <c r="M397" s="3" t="s">
        <v>289</v>
      </c>
      <c r="N397" s="2" t="s">
        <v>5093</v>
      </c>
      <c r="O397" s="3" t="s">
        <v>65</v>
      </c>
      <c r="P397" s="3" t="s">
        <v>186</v>
      </c>
      <c r="R397" s="3" t="s">
        <v>68</v>
      </c>
      <c r="S397" s="4">
        <v>2</v>
      </c>
      <c r="T397" s="4">
        <v>2</v>
      </c>
      <c r="U397" s="5" t="s">
        <v>5094</v>
      </c>
      <c r="V397" s="5" t="s">
        <v>5094</v>
      </c>
      <c r="W397" s="5" t="s">
        <v>5095</v>
      </c>
      <c r="X397" s="5" t="s">
        <v>5095</v>
      </c>
      <c r="Y397" s="4">
        <v>29</v>
      </c>
      <c r="Z397" s="4">
        <v>22</v>
      </c>
      <c r="AA397" s="4">
        <v>280</v>
      </c>
      <c r="AB397" s="4">
        <v>1</v>
      </c>
      <c r="AC397" s="4">
        <v>3</v>
      </c>
      <c r="AD397" s="4">
        <v>2</v>
      </c>
      <c r="AE397" s="4">
        <v>24</v>
      </c>
      <c r="AF397" s="4">
        <v>1</v>
      </c>
      <c r="AG397" s="4">
        <v>9</v>
      </c>
      <c r="AH397" s="4">
        <v>2</v>
      </c>
      <c r="AI397" s="4">
        <v>4</v>
      </c>
      <c r="AJ397" s="4">
        <v>0</v>
      </c>
      <c r="AK397" s="4">
        <v>14</v>
      </c>
      <c r="AL397" s="4">
        <v>0</v>
      </c>
      <c r="AM397" s="4">
        <v>2</v>
      </c>
      <c r="AN397" s="4">
        <v>0</v>
      </c>
      <c r="AO397" s="4">
        <v>0</v>
      </c>
      <c r="AP397" s="3" t="s">
        <v>58</v>
      </c>
      <c r="AQ397" s="3" t="s">
        <v>58</v>
      </c>
      <c r="AS397" s="6" t="str">
        <f>HYPERLINK("https://creighton-primo.hosted.exlibrisgroup.com/primo-explore/search?tab=default_tab&amp;search_scope=EVERYTHING&amp;vid=01CRU&amp;lang=en_US&amp;offset=0&amp;query=any,contains,991000141929702656","Catalog Record")</f>
        <v>Catalog Record</v>
      </c>
      <c r="AT397" s="6" t="str">
        <f>HYPERLINK("http://www.worldcat.org/oclc/9160454","WorldCat Record")</f>
        <v>WorldCat Record</v>
      </c>
      <c r="AU397" s="3" t="s">
        <v>5096</v>
      </c>
      <c r="AV397" s="3" t="s">
        <v>5097</v>
      </c>
      <c r="AW397" s="3" t="s">
        <v>5098</v>
      </c>
      <c r="AX397" s="3" t="s">
        <v>5098</v>
      </c>
      <c r="AY397" s="3" t="s">
        <v>5099</v>
      </c>
      <c r="AZ397" s="3" t="s">
        <v>75</v>
      </c>
      <c r="BB397" s="3" t="s">
        <v>5100</v>
      </c>
      <c r="BC397" s="3" t="s">
        <v>5101</v>
      </c>
      <c r="BD397" s="3" t="s">
        <v>5102</v>
      </c>
    </row>
    <row r="398" spans="1:56" ht="39" customHeight="1" x14ac:dyDescent="0.25">
      <c r="A398" s="7" t="s">
        <v>58</v>
      </c>
      <c r="B398" s="2" t="s">
        <v>5103</v>
      </c>
      <c r="C398" s="2" t="s">
        <v>5104</v>
      </c>
      <c r="D398" s="2" t="s">
        <v>5105</v>
      </c>
      <c r="F398" s="3" t="s">
        <v>58</v>
      </c>
      <c r="G398" s="3" t="s">
        <v>59</v>
      </c>
      <c r="H398" s="3" t="s">
        <v>58</v>
      </c>
      <c r="I398" s="3" t="s">
        <v>58</v>
      </c>
      <c r="J398" s="3" t="s">
        <v>60</v>
      </c>
      <c r="K398" s="2" t="s">
        <v>5106</v>
      </c>
      <c r="L398" s="2" t="s">
        <v>5107</v>
      </c>
      <c r="M398" s="3" t="s">
        <v>289</v>
      </c>
      <c r="O398" s="3" t="s">
        <v>65</v>
      </c>
      <c r="P398" s="3" t="s">
        <v>113</v>
      </c>
      <c r="R398" s="3" t="s">
        <v>68</v>
      </c>
      <c r="S398" s="4">
        <v>2</v>
      </c>
      <c r="T398" s="4">
        <v>2</v>
      </c>
      <c r="U398" s="5" t="s">
        <v>5108</v>
      </c>
      <c r="V398" s="5" t="s">
        <v>5108</v>
      </c>
      <c r="W398" s="5" t="s">
        <v>4696</v>
      </c>
      <c r="X398" s="5" t="s">
        <v>4696</v>
      </c>
      <c r="Y398" s="4">
        <v>298</v>
      </c>
      <c r="Z398" s="4">
        <v>249</v>
      </c>
      <c r="AA398" s="4">
        <v>254</v>
      </c>
      <c r="AB398" s="4">
        <v>2</v>
      </c>
      <c r="AC398" s="4">
        <v>2</v>
      </c>
      <c r="AD398" s="4">
        <v>17</v>
      </c>
      <c r="AE398" s="4">
        <v>17</v>
      </c>
      <c r="AF398" s="4">
        <v>4</v>
      </c>
      <c r="AG398" s="4">
        <v>4</v>
      </c>
      <c r="AH398" s="4">
        <v>3</v>
      </c>
      <c r="AI398" s="4">
        <v>3</v>
      </c>
      <c r="AJ398" s="4">
        <v>12</v>
      </c>
      <c r="AK398" s="4">
        <v>12</v>
      </c>
      <c r="AL398" s="4">
        <v>1</v>
      </c>
      <c r="AM398" s="4">
        <v>1</v>
      </c>
      <c r="AN398" s="4">
        <v>0</v>
      </c>
      <c r="AO398" s="4">
        <v>0</v>
      </c>
      <c r="AP398" s="3" t="s">
        <v>58</v>
      </c>
      <c r="AQ398" s="3" t="s">
        <v>58</v>
      </c>
      <c r="AS398" s="6" t="str">
        <f>HYPERLINK("https://creighton-primo.hosted.exlibrisgroup.com/primo-explore/search?tab=default_tab&amp;search_scope=EVERYTHING&amp;vid=01CRU&amp;lang=en_US&amp;offset=0&amp;query=any,contains,991005153699702656","Catalog Record")</f>
        <v>Catalog Record</v>
      </c>
      <c r="AT398" s="6" t="str">
        <f>HYPERLINK("http://www.worldcat.org/oclc/7737186","WorldCat Record")</f>
        <v>WorldCat Record</v>
      </c>
      <c r="AU398" s="3" t="s">
        <v>5109</v>
      </c>
      <c r="AV398" s="3" t="s">
        <v>5110</v>
      </c>
      <c r="AW398" s="3" t="s">
        <v>5111</v>
      </c>
      <c r="AX398" s="3" t="s">
        <v>5111</v>
      </c>
      <c r="AY398" s="3" t="s">
        <v>5112</v>
      </c>
      <c r="AZ398" s="3" t="s">
        <v>75</v>
      </c>
      <c r="BB398" s="3" t="s">
        <v>5113</v>
      </c>
      <c r="BC398" s="3" t="s">
        <v>5114</v>
      </c>
      <c r="BD398" s="3" t="s">
        <v>5115</v>
      </c>
    </row>
    <row r="399" spans="1:56" ht="39" customHeight="1" x14ac:dyDescent="0.25">
      <c r="A399" s="7" t="s">
        <v>58</v>
      </c>
      <c r="B399" s="2" t="s">
        <v>5116</v>
      </c>
      <c r="C399" s="2" t="s">
        <v>5117</v>
      </c>
      <c r="D399" s="2" t="s">
        <v>5118</v>
      </c>
      <c r="F399" s="3" t="s">
        <v>58</v>
      </c>
      <c r="G399" s="3" t="s">
        <v>59</v>
      </c>
      <c r="H399" s="3" t="s">
        <v>58</v>
      </c>
      <c r="I399" s="3" t="s">
        <v>58</v>
      </c>
      <c r="J399" s="3" t="s">
        <v>60</v>
      </c>
      <c r="K399" s="2" t="s">
        <v>5119</v>
      </c>
      <c r="L399" s="2" t="s">
        <v>5120</v>
      </c>
      <c r="M399" s="3" t="s">
        <v>172</v>
      </c>
      <c r="N399" s="2" t="s">
        <v>2831</v>
      </c>
      <c r="O399" s="3" t="s">
        <v>65</v>
      </c>
      <c r="P399" s="3" t="s">
        <v>186</v>
      </c>
      <c r="R399" s="3" t="s">
        <v>68</v>
      </c>
      <c r="S399" s="4">
        <v>9</v>
      </c>
      <c r="T399" s="4">
        <v>9</v>
      </c>
      <c r="U399" s="5" t="s">
        <v>5121</v>
      </c>
      <c r="V399" s="5" t="s">
        <v>5121</v>
      </c>
      <c r="W399" s="5" t="s">
        <v>5122</v>
      </c>
      <c r="X399" s="5" t="s">
        <v>5122</v>
      </c>
      <c r="Y399" s="4">
        <v>526</v>
      </c>
      <c r="Z399" s="4">
        <v>452</v>
      </c>
      <c r="AA399" s="4">
        <v>622</v>
      </c>
      <c r="AB399" s="4">
        <v>8</v>
      </c>
      <c r="AC399" s="4">
        <v>10</v>
      </c>
      <c r="AD399" s="4">
        <v>35</v>
      </c>
      <c r="AE399" s="4">
        <v>45</v>
      </c>
      <c r="AF399" s="4">
        <v>12</v>
      </c>
      <c r="AG399" s="4">
        <v>17</v>
      </c>
      <c r="AH399" s="4">
        <v>7</v>
      </c>
      <c r="AI399" s="4">
        <v>8</v>
      </c>
      <c r="AJ399" s="4">
        <v>20</v>
      </c>
      <c r="AK399" s="4">
        <v>24</v>
      </c>
      <c r="AL399" s="4">
        <v>5</v>
      </c>
      <c r="AM399" s="4">
        <v>7</v>
      </c>
      <c r="AN399" s="4">
        <v>0</v>
      </c>
      <c r="AO399" s="4">
        <v>0</v>
      </c>
      <c r="AP399" s="3" t="s">
        <v>58</v>
      </c>
      <c r="AQ399" s="3" t="s">
        <v>58</v>
      </c>
      <c r="AS399" s="6" t="str">
        <f>HYPERLINK("https://creighton-primo.hosted.exlibrisgroup.com/primo-explore/search?tab=default_tab&amp;search_scope=EVERYTHING&amp;vid=01CRU&amp;lang=en_US&amp;offset=0&amp;query=any,contains,991000885619702656","Catalog Record")</f>
        <v>Catalog Record</v>
      </c>
      <c r="AT399" s="6" t="str">
        <f>HYPERLINK("http://www.worldcat.org/oclc/152930","WorldCat Record")</f>
        <v>WorldCat Record</v>
      </c>
      <c r="AU399" s="3" t="s">
        <v>5123</v>
      </c>
      <c r="AV399" s="3" t="s">
        <v>5124</v>
      </c>
      <c r="AW399" s="3" t="s">
        <v>5125</v>
      </c>
      <c r="AX399" s="3" t="s">
        <v>5125</v>
      </c>
      <c r="AY399" s="3" t="s">
        <v>5126</v>
      </c>
      <c r="AZ399" s="3" t="s">
        <v>75</v>
      </c>
      <c r="BC399" s="3" t="s">
        <v>5127</v>
      </c>
      <c r="BD399" s="3" t="s">
        <v>5128</v>
      </c>
    </row>
    <row r="400" spans="1:56" ht="39" customHeight="1" x14ac:dyDescent="0.25">
      <c r="A400" s="7" t="s">
        <v>58</v>
      </c>
      <c r="B400" s="2" t="s">
        <v>5129</v>
      </c>
      <c r="C400" s="2" t="s">
        <v>5130</v>
      </c>
      <c r="D400" s="2" t="s">
        <v>5131</v>
      </c>
      <c r="F400" s="3" t="s">
        <v>58</v>
      </c>
      <c r="G400" s="3" t="s">
        <v>59</v>
      </c>
      <c r="H400" s="3" t="s">
        <v>58</v>
      </c>
      <c r="I400" s="3" t="s">
        <v>58</v>
      </c>
      <c r="J400" s="3" t="s">
        <v>60</v>
      </c>
      <c r="K400" s="2" t="s">
        <v>5132</v>
      </c>
      <c r="L400" s="2" t="s">
        <v>5133</v>
      </c>
      <c r="M400" s="3" t="s">
        <v>128</v>
      </c>
      <c r="O400" s="3" t="s">
        <v>65</v>
      </c>
      <c r="P400" s="3" t="s">
        <v>84</v>
      </c>
      <c r="Q400" s="2" t="s">
        <v>5134</v>
      </c>
      <c r="R400" s="3" t="s">
        <v>68</v>
      </c>
      <c r="S400" s="4">
        <v>1</v>
      </c>
      <c r="T400" s="4">
        <v>1</v>
      </c>
      <c r="U400" s="5" t="s">
        <v>5135</v>
      </c>
      <c r="V400" s="5" t="s">
        <v>5135</v>
      </c>
      <c r="W400" s="5" t="s">
        <v>5136</v>
      </c>
      <c r="X400" s="5" t="s">
        <v>5136</v>
      </c>
      <c r="Y400" s="4">
        <v>294</v>
      </c>
      <c r="Z400" s="4">
        <v>239</v>
      </c>
      <c r="AA400" s="4">
        <v>244</v>
      </c>
      <c r="AB400" s="4">
        <v>4</v>
      </c>
      <c r="AC400" s="4">
        <v>4</v>
      </c>
      <c r="AD400" s="4">
        <v>16</v>
      </c>
      <c r="AE400" s="4">
        <v>16</v>
      </c>
      <c r="AF400" s="4">
        <v>5</v>
      </c>
      <c r="AG400" s="4">
        <v>5</v>
      </c>
      <c r="AH400" s="4">
        <v>3</v>
      </c>
      <c r="AI400" s="4">
        <v>3</v>
      </c>
      <c r="AJ400" s="4">
        <v>8</v>
      </c>
      <c r="AK400" s="4">
        <v>8</v>
      </c>
      <c r="AL400" s="4">
        <v>2</v>
      </c>
      <c r="AM400" s="4">
        <v>2</v>
      </c>
      <c r="AN400" s="4">
        <v>0</v>
      </c>
      <c r="AO400" s="4">
        <v>0</v>
      </c>
      <c r="AP400" s="3" t="s">
        <v>58</v>
      </c>
      <c r="AQ400" s="3" t="s">
        <v>58</v>
      </c>
      <c r="AS400" s="6" t="str">
        <f>HYPERLINK("https://creighton-primo.hosted.exlibrisgroup.com/primo-explore/search?tab=default_tab&amp;search_scope=EVERYTHING&amp;vid=01CRU&amp;lang=en_US&amp;offset=0&amp;query=any,contains,991004411929702656","Catalog Record")</f>
        <v>Catalog Record</v>
      </c>
      <c r="AT400" s="6" t="str">
        <f>HYPERLINK("http://www.worldcat.org/oclc/3345858","WorldCat Record")</f>
        <v>WorldCat Record</v>
      </c>
      <c r="AU400" s="3" t="s">
        <v>5137</v>
      </c>
      <c r="AV400" s="3" t="s">
        <v>5138</v>
      </c>
      <c r="AW400" s="3" t="s">
        <v>5139</v>
      </c>
      <c r="AX400" s="3" t="s">
        <v>5139</v>
      </c>
      <c r="AY400" s="3" t="s">
        <v>5140</v>
      </c>
      <c r="AZ400" s="3" t="s">
        <v>75</v>
      </c>
      <c r="BB400" s="3" t="s">
        <v>5141</v>
      </c>
      <c r="BC400" s="3" t="s">
        <v>5142</v>
      </c>
      <c r="BD400" s="3" t="s">
        <v>5143</v>
      </c>
    </row>
    <row r="401" spans="1:56" ht="39" customHeight="1" x14ac:dyDescent="0.25">
      <c r="A401" s="7" t="s">
        <v>58</v>
      </c>
      <c r="B401" s="2" t="s">
        <v>5144</v>
      </c>
      <c r="C401" s="2" t="s">
        <v>5145</v>
      </c>
      <c r="D401" s="2" t="s">
        <v>5146</v>
      </c>
      <c r="F401" s="3" t="s">
        <v>58</v>
      </c>
      <c r="G401" s="3" t="s">
        <v>59</v>
      </c>
      <c r="H401" s="3" t="s">
        <v>58</v>
      </c>
      <c r="I401" s="3" t="s">
        <v>58</v>
      </c>
      <c r="J401" s="3" t="s">
        <v>60</v>
      </c>
      <c r="K401" s="2" t="s">
        <v>5147</v>
      </c>
      <c r="L401" s="2" t="s">
        <v>5148</v>
      </c>
      <c r="M401" s="3" t="s">
        <v>439</v>
      </c>
      <c r="N401" s="2" t="s">
        <v>5149</v>
      </c>
      <c r="O401" s="3" t="s">
        <v>65</v>
      </c>
      <c r="P401" s="3" t="s">
        <v>186</v>
      </c>
      <c r="R401" s="3" t="s">
        <v>68</v>
      </c>
      <c r="S401" s="4">
        <v>1</v>
      </c>
      <c r="T401" s="4">
        <v>1</v>
      </c>
      <c r="U401" s="5" t="s">
        <v>3632</v>
      </c>
      <c r="V401" s="5" t="s">
        <v>3632</v>
      </c>
      <c r="W401" s="5" t="s">
        <v>3632</v>
      </c>
      <c r="X401" s="5" t="s">
        <v>3632</v>
      </c>
      <c r="Y401" s="4">
        <v>84</v>
      </c>
      <c r="Z401" s="4">
        <v>83</v>
      </c>
      <c r="AA401" s="4">
        <v>944</v>
      </c>
      <c r="AB401" s="4">
        <v>1</v>
      </c>
      <c r="AC401" s="4">
        <v>13</v>
      </c>
      <c r="AD401" s="4">
        <v>0</v>
      </c>
      <c r="AE401" s="4">
        <v>9</v>
      </c>
      <c r="AF401" s="4">
        <v>0</v>
      </c>
      <c r="AG401" s="4">
        <v>3</v>
      </c>
      <c r="AH401" s="4">
        <v>0</v>
      </c>
      <c r="AI401" s="4">
        <v>2</v>
      </c>
      <c r="AJ401" s="4">
        <v>0</v>
      </c>
      <c r="AK401" s="4">
        <v>3</v>
      </c>
      <c r="AL401" s="4">
        <v>0</v>
      </c>
      <c r="AM401" s="4">
        <v>3</v>
      </c>
      <c r="AN401" s="4">
        <v>0</v>
      </c>
      <c r="AO401" s="4">
        <v>0</v>
      </c>
      <c r="AP401" s="3" t="s">
        <v>58</v>
      </c>
      <c r="AQ401" s="3" t="s">
        <v>58</v>
      </c>
      <c r="AS401" s="6" t="str">
        <f>HYPERLINK("https://creighton-primo.hosted.exlibrisgroup.com/primo-explore/search?tab=default_tab&amp;search_scope=EVERYTHING&amp;vid=01CRU&amp;lang=en_US&amp;offset=0&amp;query=any,contains,991000015979702656","Catalog Record")</f>
        <v>Catalog Record</v>
      </c>
      <c r="AT401" s="6" t="str">
        <f>HYPERLINK("http://www.worldcat.org/oclc/8851498","WorldCat Record")</f>
        <v>WorldCat Record</v>
      </c>
      <c r="AU401" s="3" t="s">
        <v>5150</v>
      </c>
      <c r="AV401" s="3" t="s">
        <v>5151</v>
      </c>
      <c r="AW401" s="3" t="s">
        <v>5152</v>
      </c>
      <c r="AX401" s="3" t="s">
        <v>5152</v>
      </c>
      <c r="AY401" s="3" t="s">
        <v>5153</v>
      </c>
      <c r="AZ401" s="3" t="s">
        <v>75</v>
      </c>
      <c r="BC401" s="3" t="s">
        <v>5154</v>
      </c>
      <c r="BD401" s="3" t="s">
        <v>5155</v>
      </c>
    </row>
    <row r="402" spans="1:56" ht="39" customHeight="1" x14ac:dyDescent="0.25">
      <c r="A402" s="7" t="s">
        <v>58</v>
      </c>
      <c r="B402" s="2" t="s">
        <v>5156</v>
      </c>
      <c r="C402" s="2" t="s">
        <v>5157</v>
      </c>
      <c r="D402" s="2" t="s">
        <v>5158</v>
      </c>
      <c r="F402" s="3" t="s">
        <v>58</v>
      </c>
      <c r="G402" s="3" t="s">
        <v>59</v>
      </c>
      <c r="H402" s="3" t="s">
        <v>58</v>
      </c>
      <c r="I402" s="3" t="s">
        <v>58</v>
      </c>
      <c r="J402" s="3" t="s">
        <v>60</v>
      </c>
      <c r="K402" s="2" t="s">
        <v>5159</v>
      </c>
      <c r="L402" s="2" t="s">
        <v>5160</v>
      </c>
      <c r="M402" s="3" t="s">
        <v>215</v>
      </c>
      <c r="N402" s="2" t="s">
        <v>476</v>
      </c>
      <c r="O402" s="3" t="s">
        <v>65</v>
      </c>
      <c r="P402" s="3" t="s">
        <v>84</v>
      </c>
      <c r="R402" s="3" t="s">
        <v>68</v>
      </c>
      <c r="S402" s="4">
        <v>8</v>
      </c>
      <c r="T402" s="4">
        <v>8</v>
      </c>
      <c r="U402" s="5" t="s">
        <v>5161</v>
      </c>
      <c r="V402" s="5" t="s">
        <v>5161</v>
      </c>
      <c r="W402" s="5" t="s">
        <v>5162</v>
      </c>
      <c r="X402" s="5" t="s">
        <v>5162</v>
      </c>
      <c r="Y402" s="4">
        <v>334</v>
      </c>
      <c r="Z402" s="4">
        <v>285</v>
      </c>
      <c r="AA402" s="4">
        <v>290</v>
      </c>
      <c r="AB402" s="4">
        <v>2</v>
      </c>
      <c r="AC402" s="4">
        <v>2</v>
      </c>
      <c r="AD402" s="4">
        <v>20</v>
      </c>
      <c r="AE402" s="4">
        <v>20</v>
      </c>
      <c r="AF402" s="4">
        <v>8</v>
      </c>
      <c r="AG402" s="4">
        <v>8</v>
      </c>
      <c r="AH402" s="4">
        <v>3</v>
      </c>
      <c r="AI402" s="4">
        <v>3</v>
      </c>
      <c r="AJ402" s="4">
        <v>13</v>
      </c>
      <c r="AK402" s="4">
        <v>13</v>
      </c>
      <c r="AL402" s="4">
        <v>1</v>
      </c>
      <c r="AM402" s="4">
        <v>1</v>
      </c>
      <c r="AN402" s="4">
        <v>0</v>
      </c>
      <c r="AO402" s="4">
        <v>0</v>
      </c>
      <c r="AP402" s="3" t="s">
        <v>58</v>
      </c>
      <c r="AQ402" s="3" t="s">
        <v>58</v>
      </c>
      <c r="AS402" s="6" t="str">
        <f>HYPERLINK("https://creighton-primo.hosted.exlibrisgroup.com/primo-explore/search?tab=default_tab&amp;search_scope=EVERYTHING&amp;vid=01CRU&amp;lang=en_US&amp;offset=0&amp;query=any,contains,991001040739702656","Catalog Record")</f>
        <v>Catalog Record</v>
      </c>
      <c r="AT402" s="6" t="str">
        <f>HYPERLINK("http://www.worldcat.org/oclc/15589267","WorldCat Record")</f>
        <v>WorldCat Record</v>
      </c>
      <c r="AU402" s="3" t="s">
        <v>5163</v>
      </c>
      <c r="AV402" s="3" t="s">
        <v>5164</v>
      </c>
      <c r="AW402" s="3" t="s">
        <v>5165</v>
      </c>
      <c r="AX402" s="3" t="s">
        <v>5165</v>
      </c>
      <c r="AY402" s="3" t="s">
        <v>5166</v>
      </c>
      <c r="AZ402" s="3" t="s">
        <v>75</v>
      </c>
      <c r="BB402" s="3" t="s">
        <v>5167</v>
      </c>
      <c r="BC402" s="3" t="s">
        <v>5168</v>
      </c>
      <c r="BD402" s="3" t="s">
        <v>5169</v>
      </c>
    </row>
    <row r="403" spans="1:56" ht="39" customHeight="1" x14ac:dyDescent="0.25">
      <c r="A403" s="7" t="s">
        <v>58</v>
      </c>
      <c r="B403" s="2" t="s">
        <v>5170</v>
      </c>
      <c r="C403" s="2" t="s">
        <v>5171</v>
      </c>
      <c r="D403" s="2" t="s">
        <v>5172</v>
      </c>
      <c r="F403" s="3" t="s">
        <v>58</v>
      </c>
      <c r="G403" s="3" t="s">
        <v>59</v>
      </c>
      <c r="H403" s="3" t="s">
        <v>58</v>
      </c>
      <c r="I403" s="3" t="s">
        <v>58</v>
      </c>
      <c r="J403" s="3" t="s">
        <v>60</v>
      </c>
      <c r="K403" s="2" t="s">
        <v>5173</v>
      </c>
      <c r="L403" s="2" t="s">
        <v>5174</v>
      </c>
      <c r="M403" s="3" t="s">
        <v>759</v>
      </c>
      <c r="O403" s="3" t="s">
        <v>65</v>
      </c>
      <c r="P403" s="3" t="s">
        <v>477</v>
      </c>
      <c r="R403" s="3" t="s">
        <v>68</v>
      </c>
      <c r="S403" s="4">
        <v>1</v>
      </c>
      <c r="T403" s="4">
        <v>1</v>
      </c>
      <c r="U403" s="5" t="s">
        <v>5175</v>
      </c>
      <c r="V403" s="5" t="s">
        <v>5175</v>
      </c>
      <c r="W403" s="5" t="s">
        <v>5175</v>
      </c>
      <c r="X403" s="5" t="s">
        <v>5175</v>
      </c>
      <c r="Y403" s="4">
        <v>204</v>
      </c>
      <c r="Z403" s="4">
        <v>166</v>
      </c>
      <c r="AA403" s="4">
        <v>184</v>
      </c>
      <c r="AB403" s="4">
        <v>2</v>
      </c>
      <c r="AC403" s="4">
        <v>2</v>
      </c>
      <c r="AD403" s="4">
        <v>11</v>
      </c>
      <c r="AE403" s="4">
        <v>12</v>
      </c>
      <c r="AF403" s="4">
        <v>3</v>
      </c>
      <c r="AG403" s="4">
        <v>3</v>
      </c>
      <c r="AH403" s="4">
        <v>2</v>
      </c>
      <c r="AI403" s="4">
        <v>2</v>
      </c>
      <c r="AJ403" s="4">
        <v>7</v>
      </c>
      <c r="AK403" s="4">
        <v>8</v>
      </c>
      <c r="AL403" s="4">
        <v>1</v>
      </c>
      <c r="AM403" s="4">
        <v>1</v>
      </c>
      <c r="AN403" s="4">
        <v>0</v>
      </c>
      <c r="AO403" s="4">
        <v>0</v>
      </c>
      <c r="AP403" s="3" t="s">
        <v>58</v>
      </c>
      <c r="AQ403" s="3" t="s">
        <v>58</v>
      </c>
      <c r="AS403" s="6" t="str">
        <f>HYPERLINK("https://creighton-primo.hosted.exlibrisgroup.com/primo-explore/search?tab=default_tab&amp;search_scope=EVERYTHING&amp;vid=01CRU&amp;lang=en_US&amp;offset=0&amp;query=any,contains,991003854689702656","Catalog Record")</f>
        <v>Catalog Record</v>
      </c>
      <c r="AT403" s="6" t="str">
        <f>HYPERLINK("http://www.worldcat.org/oclc/17842030","WorldCat Record")</f>
        <v>WorldCat Record</v>
      </c>
      <c r="AU403" s="3" t="s">
        <v>5176</v>
      </c>
      <c r="AV403" s="3" t="s">
        <v>5177</v>
      </c>
      <c r="AW403" s="3" t="s">
        <v>5178</v>
      </c>
      <c r="AX403" s="3" t="s">
        <v>5178</v>
      </c>
      <c r="AY403" s="3" t="s">
        <v>5179</v>
      </c>
      <c r="AZ403" s="3" t="s">
        <v>75</v>
      </c>
      <c r="BB403" s="3" t="s">
        <v>5180</v>
      </c>
      <c r="BC403" s="3" t="s">
        <v>5181</v>
      </c>
      <c r="BD403" s="3" t="s">
        <v>5182</v>
      </c>
    </row>
    <row r="404" spans="1:56" ht="39" customHeight="1" x14ac:dyDescent="0.25">
      <c r="A404" s="7" t="s">
        <v>58</v>
      </c>
      <c r="B404" s="2" t="s">
        <v>5183</v>
      </c>
      <c r="C404" s="2" t="s">
        <v>5184</v>
      </c>
      <c r="D404" s="2" t="s">
        <v>5185</v>
      </c>
      <c r="F404" s="3" t="s">
        <v>58</v>
      </c>
      <c r="G404" s="3" t="s">
        <v>59</v>
      </c>
      <c r="H404" s="3" t="s">
        <v>58</v>
      </c>
      <c r="I404" s="3" t="s">
        <v>58</v>
      </c>
      <c r="J404" s="3" t="s">
        <v>60</v>
      </c>
      <c r="K404" s="2" t="s">
        <v>5186</v>
      </c>
      <c r="L404" s="2" t="s">
        <v>5187</v>
      </c>
      <c r="M404" s="3" t="s">
        <v>289</v>
      </c>
      <c r="O404" s="3" t="s">
        <v>65</v>
      </c>
      <c r="P404" s="3" t="s">
        <v>186</v>
      </c>
      <c r="R404" s="3" t="s">
        <v>68</v>
      </c>
      <c r="S404" s="4">
        <v>4</v>
      </c>
      <c r="T404" s="4">
        <v>4</v>
      </c>
      <c r="U404" s="5" t="s">
        <v>5188</v>
      </c>
      <c r="V404" s="5" t="s">
        <v>5188</v>
      </c>
      <c r="W404" s="5" t="s">
        <v>4696</v>
      </c>
      <c r="X404" s="5" t="s">
        <v>4696</v>
      </c>
      <c r="Y404" s="4">
        <v>624</v>
      </c>
      <c r="Z404" s="4">
        <v>553</v>
      </c>
      <c r="AA404" s="4">
        <v>568</v>
      </c>
      <c r="AB404" s="4">
        <v>6</v>
      </c>
      <c r="AC404" s="4">
        <v>6</v>
      </c>
      <c r="AD404" s="4">
        <v>40</v>
      </c>
      <c r="AE404" s="4">
        <v>41</v>
      </c>
      <c r="AF404" s="4">
        <v>15</v>
      </c>
      <c r="AG404" s="4">
        <v>15</v>
      </c>
      <c r="AH404" s="4">
        <v>8</v>
      </c>
      <c r="AI404" s="4">
        <v>8</v>
      </c>
      <c r="AJ404" s="4">
        <v>25</v>
      </c>
      <c r="AK404" s="4">
        <v>26</v>
      </c>
      <c r="AL404" s="4">
        <v>4</v>
      </c>
      <c r="AM404" s="4">
        <v>4</v>
      </c>
      <c r="AN404" s="4">
        <v>0</v>
      </c>
      <c r="AO404" s="4">
        <v>0</v>
      </c>
      <c r="AP404" s="3" t="s">
        <v>58</v>
      </c>
      <c r="AQ404" s="3" t="s">
        <v>132</v>
      </c>
      <c r="AR404" s="6" t="str">
        <f>HYPERLINK("http://catalog.hathitrust.org/Record/000148983","HathiTrust Record")</f>
        <v>HathiTrust Record</v>
      </c>
      <c r="AS404" s="6" t="str">
        <f>HYPERLINK("https://creighton-primo.hosted.exlibrisgroup.com/primo-explore/search?tab=default_tab&amp;search_scope=EVERYTHING&amp;vid=01CRU&amp;lang=en_US&amp;offset=0&amp;query=any,contains,991005092609702656","Catalog Record")</f>
        <v>Catalog Record</v>
      </c>
      <c r="AT404" s="6" t="str">
        <f>HYPERLINK("http://www.worldcat.org/oclc/7246688","WorldCat Record")</f>
        <v>WorldCat Record</v>
      </c>
      <c r="AU404" s="3" t="s">
        <v>5189</v>
      </c>
      <c r="AV404" s="3" t="s">
        <v>5190</v>
      </c>
      <c r="AW404" s="3" t="s">
        <v>5191</v>
      </c>
      <c r="AX404" s="3" t="s">
        <v>5191</v>
      </c>
      <c r="AY404" s="3" t="s">
        <v>5192</v>
      </c>
      <c r="AZ404" s="3" t="s">
        <v>75</v>
      </c>
      <c r="BC404" s="3" t="s">
        <v>5193</v>
      </c>
      <c r="BD404" s="3" t="s">
        <v>5194</v>
      </c>
    </row>
    <row r="405" spans="1:56" ht="39" customHeight="1" x14ac:dyDescent="0.25">
      <c r="A405" s="7" t="s">
        <v>58</v>
      </c>
      <c r="B405" s="2" t="s">
        <v>5195</v>
      </c>
      <c r="C405" s="2" t="s">
        <v>5196</v>
      </c>
      <c r="D405" s="2" t="s">
        <v>5197</v>
      </c>
      <c r="F405" s="3" t="s">
        <v>58</v>
      </c>
      <c r="G405" s="3" t="s">
        <v>59</v>
      </c>
      <c r="H405" s="3" t="s">
        <v>58</v>
      </c>
      <c r="I405" s="3" t="s">
        <v>58</v>
      </c>
      <c r="J405" s="3" t="s">
        <v>60</v>
      </c>
      <c r="K405" s="2" t="s">
        <v>5198</v>
      </c>
      <c r="L405" s="2" t="s">
        <v>5199</v>
      </c>
      <c r="M405" s="3" t="s">
        <v>1150</v>
      </c>
      <c r="O405" s="3" t="s">
        <v>65</v>
      </c>
      <c r="P405" s="3" t="s">
        <v>186</v>
      </c>
      <c r="R405" s="3" t="s">
        <v>68</v>
      </c>
      <c r="S405" s="4">
        <v>2</v>
      </c>
      <c r="T405" s="4">
        <v>2</v>
      </c>
      <c r="U405" s="5" t="s">
        <v>5200</v>
      </c>
      <c r="V405" s="5" t="s">
        <v>5200</v>
      </c>
      <c r="W405" s="5" t="s">
        <v>5201</v>
      </c>
      <c r="X405" s="5" t="s">
        <v>5201</v>
      </c>
      <c r="Y405" s="4">
        <v>205</v>
      </c>
      <c r="Z405" s="4">
        <v>163</v>
      </c>
      <c r="AA405" s="4">
        <v>163</v>
      </c>
      <c r="AB405" s="4">
        <v>2</v>
      </c>
      <c r="AC405" s="4">
        <v>2</v>
      </c>
      <c r="AD405" s="4">
        <v>15</v>
      </c>
      <c r="AE405" s="4">
        <v>15</v>
      </c>
      <c r="AF405" s="4">
        <v>8</v>
      </c>
      <c r="AG405" s="4">
        <v>8</v>
      </c>
      <c r="AH405" s="4">
        <v>4</v>
      </c>
      <c r="AI405" s="4">
        <v>4</v>
      </c>
      <c r="AJ405" s="4">
        <v>9</v>
      </c>
      <c r="AK405" s="4">
        <v>9</v>
      </c>
      <c r="AL405" s="4">
        <v>1</v>
      </c>
      <c r="AM405" s="4">
        <v>1</v>
      </c>
      <c r="AN405" s="4">
        <v>0</v>
      </c>
      <c r="AO405" s="4">
        <v>0</v>
      </c>
      <c r="AP405" s="3" t="s">
        <v>58</v>
      </c>
      <c r="AQ405" s="3" t="s">
        <v>58</v>
      </c>
      <c r="AS405" s="6" t="str">
        <f>HYPERLINK("https://creighton-primo.hosted.exlibrisgroup.com/primo-explore/search?tab=default_tab&amp;search_scope=EVERYTHING&amp;vid=01CRU&amp;lang=en_US&amp;offset=0&amp;query=any,contains,991002597129702656","Catalog Record")</f>
        <v>Catalog Record</v>
      </c>
      <c r="AT405" s="6" t="str">
        <f>HYPERLINK("http://www.worldcat.org/oclc/34029331","WorldCat Record")</f>
        <v>WorldCat Record</v>
      </c>
      <c r="AU405" s="3" t="s">
        <v>5202</v>
      </c>
      <c r="AV405" s="3" t="s">
        <v>5203</v>
      </c>
      <c r="AW405" s="3" t="s">
        <v>5204</v>
      </c>
      <c r="AX405" s="3" t="s">
        <v>5204</v>
      </c>
      <c r="AY405" s="3" t="s">
        <v>5205</v>
      </c>
      <c r="AZ405" s="3" t="s">
        <v>75</v>
      </c>
      <c r="BB405" s="3" t="s">
        <v>5206</v>
      </c>
      <c r="BC405" s="3" t="s">
        <v>5207</v>
      </c>
      <c r="BD405" s="3" t="s">
        <v>5208</v>
      </c>
    </row>
    <row r="406" spans="1:56" ht="39" customHeight="1" x14ac:dyDescent="0.25">
      <c r="A406" s="7" t="s">
        <v>58</v>
      </c>
      <c r="B406" s="2" t="s">
        <v>5209</v>
      </c>
      <c r="C406" s="2" t="s">
        <v>5210</v>
      </c>
      <c r="D406" s="2" t="s">
        <v>5211</v>
      </c>
      <c r="F406" s="3" t="s">
        <v>58</v>
      </c>
      <c r="G406" s="3" t="s">
        <v>59</v>
      </c>
      <c r="H406" s="3" t="s">
        <v>58</v>
      </c>
      <c r="I406" s="3" t="s">
        <v>58</v>
      </c>
      <c r="J406" s="3" t="s">
        <v>60</v>
      </c>
      <c r="K406" s="2" t="s">
        <v>5212</v>
      </c>
      <c r="L406" s="2" t="s">
        <v>5213</v>
      </c>
      <c r="M406" s="3" t="s">
        <v>3920</v>
      </c>
      <c r="N406" s="2" t="s">
        <v>476</v>
      </c>
      <c r="O406" s="3" t="s">
        <v>65</v>
      </c>
      <c r="P406" s="3" t="s">
        <v>1724</v>
      </c>
      <c r="R406" s="3" t="s">
        <v>68</v>
      </c>
      <c r="S406" s="4">
        <v>2</v>
      </c>
      <c r="T406" s="4">
        <v>2</v>
      </c>
      <c r="U406" s="5" t="s">
        <v>5214</v>
      </c>
      <c r="V406" s="5" t="s">
        <v>5214</v>
      </c>
      <c r="W406" s="5" t="s">
        <v>5214</v>
      </c>
      <c r="X406" s="5" t="s">
        <v>5214</v>
      </c>
      <c r="Y406" s="4">
        <v>118</v>
      </c>
      <c r="Z406" s="4">
        <v>102</v>
      </c>
      <c r="AA406" s="4">
        <v>102</v>
      </c>
      <c r="AB406" s="4">
        <v>1</v>
      </c>
      <c r="AC406" s="4">
        <v>1</v>
      </c>
      <c r="AD406" s="4">
        <v>6</v>
      </c>
      <c r="AE406" s="4">
        <v>6</v>
      </c>
      <c r="AF406" s="4">
        <v>3</v>
      </c>
      <c r="AG406" s="4">
        <v>3</v>
      </c>
      <c r="AH406" s="4">
        <v>0</v>
      </c>
      <c r="AI406" s="4">
        <v>0</v>
      </c>
      <c r="AJ406" s="4">
        <v>3</v>
      </c>
      <c r="AK406" s="4">
        <v>3</v>
      </c>
      <c r="AL406" s="4">
        <v>0</v>
      </c>
      <c r="AM406" s="4">
        <v>0</v>
      </c>
      <c r="AN406" s="4">
        <v>0</v>
      </c>
      <c r="AO406" s="4">
        <v>0</v>
      </c>
      <c r="AP406" s="3" t="s">
        <v>58</v>
      </c>
      <c r="AQ406" s="3" t="s">
        <v>58</v>
      </c>
      <c r="AS406" s="6" t="str">
        <f>HYPERLINK("https://creighton-primo.hosted.exlibrisgroup.com/primo-explore/search?tab=default_tab&amp;search_scope=EVERYTHING&amp;vid=01CRU&amp;lang=en_US&amp;offset=0&amp;query=any,contains,991005079389702656","Catalog Record")</f>
        <v>Catalog Record</v>
      </c>
      <c r="AT406" s="6" t="str">
        <f>HYPERLINK("http://www.worldcat.org/oclc/57068827","WorldCat Record")</f>
        <v>WorldCat Record</v>
      </c>
      <c r="AU406" s="3" t="s">
        <v>5215</v>
      </c>
      <c r="AV406" s="3" t="s">
        <v>5216</v>
      </c>
      <c r="AW406" s="3" t="s">
        <v>5217</v>
      </c>
      <c r="AX406" s="3" t="s">
        <v>5217</v>
      </c>
      <c r="AY406" s="3" t="s">
        <v>5218</v>
      </c>
      <c r="AZ406" s="3" t="s">
        <v>75</v>
      </c>
      <c r="BB406" s="3" t="s">
        <v>5219</v>
      </c>
      <c r="BC406" s="3" t="s">
        <v>5220</v>
      </c>
      <c r="BD406" s="3" t="s">
        <v>5221</v>
      </c>
    </row>
    <row r="407" spans="1:56" ht="39" customHeight="1" x14ac:dyDescent="0.25">
      <c r="A407" s="7" t="s">
        <v>58</v>
      </c>
      <c r="B407" s="2" t="s">
        <v>5222</v>
      </c>
      <c r="C407" s="2" t="s">
        <v>5223</v>
      </c>
      <c r="D407" s="2" t="s">
        <v>5224</v>
      </c>
      <c r="F407" s="3" t="s">
        <v>58</v>
      </c>
      <c r="G407" s="3" t="s">
        <v>59</v>
      </c>
      <c r="H407" s="3" t="s">
        <v>58</v>
      </c>
      <c r="I407" s="3" t="s">
        <v>58</v>
      </c>
      <c r="J407" s="3" t="s">
        <v>60</v>
      </c>
      <c r="K407" s="2" t="s">
        <v>5225</v>
      </c>
      <c r="L407" s="2" t="s">
        <v>5226</v>
      </c>
      <c r="M407" s="3" t="s">
        <v>185</v>
      </c>
      <c r="O407" s="3" t="s">
        <v>65</v>
      </c>
      <c r="P407" s="3" t="s">
        <v>1358</v>
      </c>
      <c r="R407" s="3" t="s">
        <v>68</v>
      </c>
      <c r="S407" s="4">
        <v>1</v>
      </c>
      <c r="T407" s="4">
        <v>1</v>
      </c>
      <c r="U407" s="5" t="s">
        <v>5227</v>
      </c>
      <c r="V407" s="5" t="s">
        <v>5227</v>
      </c>
      <c r="W407" s="5" t="s">
        <v>5227</v>
      </c>
      <c r="X407" s="5" t="s">
        <v>5227</v>
      </c>
      <c r="Y407" s="4">
        <v>144</v>
      </c>
      <c r="Z407" s="4">
        <v>118</v>
      </c>
      <c r="AA407" s="4">
        <v>144</v>
      </c>
      <c r="AB407" s="4">
        <v>1</v>
      </c>
      <c r="AC407" s="4">
        <v>1</v>
      </c>
      <c r="AD407" s="4">
        <v>4</v>
      </c>
      <c r="AE407" s="4">
        <v>5</v>
      </c>
      <c r="AF407" s="4">
        <v>3</v>
      </c>
      <c r="AG407" s="4">
        <v>4</v>
      </c>
      <c r="AH407" s="4">
        <v>0</v>
      </c>
      <c r="AI407" s="4">
        <v>1</v>
      </c>
      <c r="AJ407" s="4">
        <v>1</v>
      </c>
      <c r="AK407" s="4">
        <v>1</v>
      </c>
      <c r="AL407" s="4">
        <v>0</v>
      </c>
      <c r="AM407" s="4">
        <v>0</v>
      </c>
      <c r="AN407" s="4">
        <v>0</v>
      </c>
      <c r="AO407" s="4">
        <v>0</v>
      </c>
      <c r="AP407" s="3" t="s">
        <v>58</v>
      </c>
      <c r="AQ407" s="3" t="s">
        <v>58</v>
      </c>
      <c r="AS407" s="6" t="str">
        <f>HYPERLINK("https://creighton-primo.hosted.exlibrisgroup.com/primo-explore/search?tab=default_tab&amp;search_scope=EVERYTHING&amp;vid=01CRU&amp;lang=en_US&amp;offset=0&amp;query=any,contains,991005080009702656","Catalog Record")</f>
        <v>Catalog Record</v>
      </c>
      <c r="AT407" s="6" t="str">
        <f>HYPERLINK("http://www.worldcat.org/oclc/45277993","WorldCat Record")</f>
        <v>WorldCat Record</v>
      </c>
      <c r="AU407" s="3" t="s">
        <v>5228</v>
      </c>
      <c r="AV407" s="3" t="s">
        <v>5229</v>
      </c>
      <c r="AW407" s="3" t="s">
        <v>5230</v>
      </c>
      <c r="AX407" s="3" t="s">
        <v>5230</v>
      </c>
      <c r="AY407" s="3" t="s">
        <v>5231</v>
      </c>
      <c r="AZ407" s="3" t="s">
        <v>75</v>
      </c>
      <c r="BB407" s="3" t="s">
        <v>5232</v>
      </c>
      <c r="BC407" s="3" t="s">
        <v>5233</v>
      </c>
      <c r="BD407" s="3" t="s">
        <v>5234</v>
      </c>
    </row>
    <row r="408" spans="1:56" ht="39" customHeight="1" x14ac:dyDescent="0.25">
      <c r="A408" s="7" t="s">
        <v>58</v>
      </c>
      <c r="B408" s="2" t="s">
        <v>5235</v>
      </c>
      <c r="C408" s="2" t="s">
        <v>5236</v>
      </c>
      <c r="D408" s="2" t="s">
        <v>5237</v>
      </c>
      <c r="F408" s="3" t="s">
        <v>58</v>
      </c>
      <c r="G408" s="3" t="s">
        <v>59</v>
      </c>
      <c r="H408" s="3" t="s">
        <v>58</v>
      </c>
      <c r="I408" s="3" t="s">
        <v>58</v>
      </c>
      <c r="J408" s="3" t="s">
        <v>60</v>
      </c>
      <c r="K408" s="2" t="s">
        <v>5238</v>
      </c>
      <c r="L408" s="2" t="s">
        <v>5239</v>
      </c>
      <c r="M408" s="3" t="s">
        <v>303</v>
      </c>
      <c r="O408" s="3" t="s">
        <v>65</v>
      </c>
      <c r="P408" s="3" t="s">
        <v>84</v>
      </c>
      <c r="R408" s="3" t="s">
        <v>68</v>
      </c>
      <c r="S408" s="4">
        <v>4</v>
      </c>
      <c r="T408" s="4">
        <v>4</v>
      </c>
      <c r="U408" s="5" t="s">
        <v>5240</v>
      </c>
      <c r="V408" s="5" t="s">
        <v>5240</v>
      </c>
      <c r="W408" s="5" t="s">
        <v>4696</v>
      </c>
      <c r="X408" s="5" t="s">
        <v>4696</v>
      </c>
      <c r="Y408" s="4">
        <v>403</v>
      </c>
      <c r="Z408" s="4">
        <v>333</v>
      </c>
      <c r="AA408" s="4">
        <v>336</v>
      </c>
      <c r="AB408" s="4">
        <v>1</v>
      </c>
      <c r="AC408" s="4">
        <v>1</v>
      </c>
      <c r="AD408" s="4">
        <v>21</v>
      </c>
      <c r="AE408" s="4">
        <v>21</v>
      </c>
      <c r="AF408" s="4">
        <v>10</v>
      </c>
      <c r="AG408" s="4">
        <v>10</v>
      </c>
      <c r="AH408" s="4">
        <v>4</v>
      </c>
      <c r="AI408" s="4">
        <v>4</v>
      </c>
      <c r="AJ408" s="4">
        <v>12</v>
      </c>
      <c r="AK408" s="4">
        <v>12</v>
      </c>
      <c r="AL408" s="4">
        <v>0</v>
      </c>
      <c r="AM408" s="4">
        <v>0</v>
      </c>
      <c r="AN408" s="4">
        <v>0</v>
      </c>
      <c r="AO408" s="4">
        <v>0</v>
      </c>
      <c r="AP408" s="3" t="s">
        <v>58</v>
      </c>
      <c r="AQ408" s="3" t="s">
        <v>132</v>
      </c>
      <c r="AR408" s="6" t="str">
        <f>HYPERLINK("http://catalog.hathitrust.org/Record/000448598","HathiTrust Record")</f>
        <v>HathiTrust Record</v>
      </c>
      <c r="AS408" s="6" t="str">
        <f>HYPERLINK("https://creighton-primo.hosted.exlibrisgroup.com/primo-explore/search?tab=default_tab&amp;search_scope=EVERYTHING&amp;vid=01CRU&amp;lang=en_US&amp;offset=0&amp;query=any,contains,991004002019702656","Catalog Record")</f>
        <v>Catalog Record</v>
      </c>
      <c r="AT408" s="6" t="str">
        <f>HYPERLINK("http://www.worldcat.org/oclc/2074375","WorldCat Record")</f>
        <v>WorldCat Record</v>
      </c>
      <c r="AU408" s="3" t="s">
        <v>5241</v>
      </c>
      <c r="AV408" s="3" t="s">
        <v>5242</v>
      </c>
      <c r="AW408" s="3" t="s">
        <v>5243</v>
      </c>
      <c r="AX408" s="3" t="s">
        <v>5243</v>
      </c>
      <c r="AY408" s="3" t="s">
        <v>5244</v>
      </c>
      <c r="AZ408" s="3" t="s">
        <v>75</v>
      </c>
      <c r="BB408" s="3" t="s">
        <v>5245</v>
      </c>
      <c r="BC408" s="3" t="s">
        <v>5246</v>
      </c>
      <c r="BD408" s="3" t="s">
        <v>5247</v>
      </c>
    </row>
    <row r="409" spans="1:56" ht="39" customHeight="1" x14ac:dyDescent="0.25">
      <c r="A409" s="7" t="s">
        <v>58</v>
      </c>
      <c r="B409" s="2" t="s">
        <v>5248</v>
      </c>
      <c r="C409" s="2" t="s">
        <v>5249</v>
      </c>
      <c r="D409" s="2" t="s">
        <v>5250</v>
      </c>
      <c r="F409" s="3" t="s">
        <v>58</v>
      </c>
      <c r="G409" s="3" t="s">
        <v>59</v>
      </c>
      <c r="H409" s="3" t="s">
        <v>58</v>
      </c>
      <c r="I409" s="3" t="s">
        <v>58</v>
      </c>
      <c r="J409" s="3" t="s">
        <v>60</v>
      </c>
      <c r="L409" s="2" t="s">
        <v>5251</v>
      </c>
      <c r="M409" s="3" t="s">
        <v>273</v>
      </c>
      <c r="O409" s="3" t="s">
        <v>65</v>
      </c>
      <c r="P409" s="3" t="s">
        <v>186</v>
      </c>
      <c r="R409" s="3" t="s">
        <v>68</v>
      </c>
      <c r="S409" s="4">
        <v>3</v>
      </c>
      <c r="T409" s="4">
        <v>3</v>
      </c>
      <c r="U409" s="5" t="s">
        <v>5252</v>
      </c>
      <c r="V409" s="5" t="s">
        <v>5252</v>
      </c>
      <c r="W409" s="5" t="s">
        <v>5253</v>
      </c>
      <c r="X409" s="5" t="s">
        <v>5253</v>
      </c>
      <c r="Y409" s="4">
        <v>99</v>
      </c>
      <c r="Z409" s="4">
        <v>97</v>
      </c>
      <c r="AA409" s="4">
        <v>103</v>
      </c>
      <c r="AB409" s="4">
        <v>1</v>
      </c>
      <c r="AC409" s="4">
        <v>1</v>
      </c>
      <c r="AD409" s="4">
        <v>13</v>
      </c>
      <c r="AE409" s="4">
        <v>14</v>
      </c>
      <c r="AF409" s="4">
        <v>8</v>
      </c>
      <c r="AG409" s="4">
        <v>9</v>
      </c>
      <c r="AH409" s="4">
        <v>3</v>
      </c>
      <c r="AI409" s="4">
        <v>3</v>
      </c>
      <c r="AJ409" s="4">
        <v>6</v>
      </c>
      <c r="AK409" s="4">
        <v>6</v>
      </c>
      <c r="AL409" s="4">
        <v>0</v>
      </c>
      <c r="AM409" s="4">
        <v>0</v>
      </c>
      <c r="AN409" s="4">
        <v>0</v>
      </c>
      <c r="AO409" s="4">
        <v>0</v>
      </c>
      <c r="AP409" s="3" t="s">
        <v>58</v>
      </c>
      <c r="AQ409" s="3" t="s">
        <v>132</v>
      </c>
      <c r="AR409" s="6" t="str">
        <f>HYPERLINK("http://catalog.hathitrust.org/Record/003254784","HathiTrust Record")</f>
        <v>HathiTrust Record</v>
      </c>
      <c r="AS409" s="6" t="str">
        <f>HYPERLINK("https://creighton-primo.hosted.exlibrisgroup.com/primo-explore/search?tab=default_tab&amp;search_scope=EVERYTHING&amp;vid=01CRU&amp;lang=en_US&amp;offset=0&amp;query=any,contains,991002675489702656","Catalog Record")</f>
        <v>Catalog Record</v>
      </c>
      <c r="AT409" s="6" t="str">
        <f>HYPERLINK("http://www.worldcat.org/oclc/34984093","WorldCat Record")</f>
        <v>WorldCat Record</v>
      </c>
      <c r="AU409" s="3" t="s">
        <v>5254</v>
      </c>
      <c r="AV409" s="3" t="s">
        <v>5255</v>
      </c>
      <c r="AW409" s="3" t="s">
        <v>5256</v>
      </c>
      <c r="AX409" s="3" t="s">
        <v>5256</v>
      </c>
      <c r="AY409" s="3" t="s">
        <v>5257</v>
      </c>
      <c r="AZ409" s="3" t="s">
        <v>75</v>
      </c>
      <c r="BB409" s="3" t="s">
        <v>5258</v>
      </c>
      <c r="BC409" s="3" t="s">
        <v>5259</v>
      </c>
      <c r="BD409" s="3" t="s">
        <v>5260</v>
      </c>
    </row>
    <row r="410" spans="1:56" ht="39" customHeight="1" x14ac:dyDescent="0.25">
      <c r="A410" s="7" t="s">
        <v>58</v>
      </c>
      <c r="B410" s="2" t="s">
        <v>5261</v>
      </c>
      <c r="C410" s="2" t="s">
        <v>5262</v>
      </c>
      <c r="D410" s="2" t="s">
        <v>5263</v>
      </c>
      <c r="F410" s="3" t="s">
        <v>58</v>
      </c>
      <c r="G410" s="3" t="s">
        <v>59</v>
      </c>
      <c r="H410" s="3" t="s">
        <v>58</v>
      </c>
      <c r="I410" s="3" t="s">
        <v>58</v>
      </c>
      <c r="J410" s="3" t="s">
        <v>60</v>
      </c>
      <c r="K410" s="2" t="s">
        <v>5264</v>
      </c>
      <c r="L410" s="2" t="s">
        <v>5265</v>
      </c>
      <c r="M410" s="3" t="s">
        <v>1261</v>
      </c>
      <c r="N410" s="2" t="s">
        <v>476</v>
      </c>
      <c r="O410" s="3" t="s">
        <v>65</v>
      </c>
      <c r="P410" s="3" t="s">
        <v>1724</v>
      </c>
      <c r="R410" s="3" t="s">
        <v>68</v>
      </c>
      <c r="S410" s="4">
        <v>4</v>
      </c>
      <c r="T410" s="4">
        <v>4</v>
      </c>
      <c r="U410" s="5" t="s">
        <v>5252</v>
      </c>
      <c r="V410" s="5" t="s">
        <v>5252</v>
      </c>
      <c r="W410" s="5" t="s">
        <v>5266</v>
      </c>
      <c r="X410" s="5" t="s">
        <v>5266</v>
      </c>
      <c r="Y410" s="4">
        <v>362</v>
      </c>
      <c r="Z410" s="4">
        <v>304</v>
      </c>
      <c r="AA410" s="4">
        <v>636</v>
      </c>
      <c r="AB410" s="4">
        <v>2</v>
      </c>
      <c r="AC410" s="4">
        <v>2</v>
      </c>
      <c r="AD410" s="4">
        <v>16</v>
      </c>
      <c r="AE410" s="4">
        <v>20</v>
      </c>
      <c r="AF410" s="4">
        <v>7</v>
      </c>
      <c r="AG410" s="4">
        <v>10</v>
      </c>
      <c r="AH410" s="4">
        <v>2</v>
      </c>
      <c r="AI410" s="4">
        <v>3</v>
      </c>
      <c r="AJ410" s="4">
        <v>8</v>
      </c>
      <c r="AK410" s="4">
        <v>10</v>
      </c>
      <c r="AL410" s="4">
        <v>1</v>
      </c>
      <c r="AM410" s="4">
        <v>1</v>
      </c>
      <c r="AN410" s="4">
        <v>0</v>
      </c>
      <c r="AO410" s="4">
        <v>0</v>
      </c>
      <c r="AP410" s="3" t="s">
        <v>58</v>
      </c>
      <c r="AQ410" s="3" t="s">
        <v>58</v>
      </c>
      <c r="AS410" s="6" t="str">
        <f>HYPERLINK("https://creighton-primo.hosted.exlibrisgroup.com/primo-explore/search?tab=default_tab&amp;search_scope=EVERYTHING&amp;vid=01CRU&amp;lang=en_US&amp;offset=0&amp;query=any,contains,991001837249702656","Catalog Record")</f>
        <v>Catalog Record</v>
      </c>
      <c r="AT410" s="6" t="str">
        <f>HYPERLINK("http://www.worldcat.org/oclc/23080803","WorldCat Record")</f>
        <v>WorldCat Record</v>
      </c>
      <c r="AU410" s="3" t="s">
        <v>5267</v>
      </c>
      <c r="AV410" s="3" t="s">
        <v>5268</v>
      </c>
      <c r="AW410" s="3" t="s">
        <v>5269</v>
      </c>
      <c r="AX410" s="3" t="s">
        <v>5269</v>
      </c>
      <c r="AY410" s="3" t="s">
        <v>5270</v>
      </c>
      <c r="AZ410" s="3" t="s">
        <v>75</v>
      </c>
      <c r="BB410" s="3" t="s">
        <v>5271</v>
      </c>
      <c r="BC410" s="3" t="s">
        <v>5272</v>
      </c>
      <c r="BD410" s="3" t="s">
        <v>5273</v>
      </c>
    </row>
    <row r="411" spans="1:56" ht="39" customHeight="1" x14ac:dyDescent="0.25">
      <c r="A411" s="7" t="s">
        <v>58</v>
      </c>
      <c r="B411" s="2" t="s">
        <v>5274</v>
      </c>
      <c r="C411" s="2" t="s">
        <v>5275</v>
      </c>
      <c r="D411" s="2" t="s">
        <v>5276</v>
      </c>
      <c r="F411" s="3" t="s">
        <v>58</v>
      </c>
      <c r="G411" s="3" t="s">
        <v>59</v>
      </c>
      <c r="H411" s="3" t="s">
        <v>58</v>
      </c>
      <c r="I411" s="3" t="s">
        <v>58</v>
      </c>
      <c r="J411" s="3" t="s">
        <v>60</v>
      </c>
      <c r="K411" s="2" t="s">
        <v>1163</v>
      </c>
      <c r="L411" s="2" t="s">
        <v>5277</v>
      </c>
      <c r="M411" s="3" t="s">
        <v>185</v>
      </c>
      <c r="O411" s="3" t="s">
        <v>65</v>
      </c>
      <c r="P411" s="3" t="s">
        <v>346</v>
      </c>
      <c r="R411" s="3" t="s">
        <v>68</v>
      </c>
      <c r="S411" s="4">
        <v>3</v>
      </c>
      <c r="T411" s="4">
        <v>3</v>
      </c>
      <c r="U411" s="5" t="s">
        <v>5278</v>
      </c>
      <c r="V411" s="5" t="s">
        <v>5278</v>
      </c>
      <c r="W411" s="5" t="s">
        <v>5279</v>
      </c>
      <c r="X411" s="5" t="s">
        <v>5279</v>
      </c>
      <c r="Y411" s="4">
        <v>244</v>
      </c>
      <c r="Z411" s="4">
        <v>202</v>
      </c>
      <c r="AA411" s="4">
        <v>216</v>
      </c>
      <c r="AB411" s="4">
        <v>2</v>
      </c>
      <c r="AC411" s="4">
        <v>3</v>
      </c>
      <c r="AD411" s="4">
        <v>12</v>
      </c>
      <c r="AE411" s="4">
        <v>13</v>
      </c>
      <c r="AF411" s="4">
        <v>5</v>
      </c>
      <c r="AG411" s="4">
        <v>5</v>
      </c>
      <c r="AH411" s="4">
        <v>3</v>
      </c>
      <c r="AI411" s="4">
        <v>3</v>
      </c>
      <c r="AJ411" s="4">
        <v>6</v>
      </c>
      <c r="AK411" s="4">
        <v>6</v>
      </c>
      <c r="AL411" s="4">
        <v>1</v>
      </c>
      <c r="AM411" s="4">
        <v>2</v>
      </c>
      <c r="AN411" s="4">
        <v>0</v>
      </c>
      <c r="AO411" s="4">
        <v>0</v>
      </c>
      <c r="AP411" s="3" t="s">
        <v>58</v>
      </c>
      <c r="AQ411" s="3" t="s">
        <v>58</v>
      </c>
      <c r="AS411" s="6" t="str">
        <f>HYPERLINK("https://creighton-primo.hosted.exlibrisgroup.com/primo-explore/search?tab=default_tab&amp;search_scope=EVERYTHING&amp;vid=01CRU&amp;lang=en_US&amp;offset=0&amp;query=any,contains,991004780469702656","Catalog Record")</f>
        <v>Catalog Record</v>
      </c>
      <c r="AT411" s="6" t="str">
        <f>HYPERLINK("http://www.worldcat.org/oclc/44579032","WorldCat Record")</f>
        <v>WorldCat Record</v>
      </c>
      <c r="AU411" s="3" t="s">
        <v>5280</v>
      </c>
      <c r="AV411" s="3" t="s">
        <v>5281</v>
      </c>
      <c r="AW411" s="3" t="s">
        <v>5282</v>
      </c>
      <c r="AX411" s="3" t="s">
        <v>5282</v>
      </c>
      <c r="AY411" s="3" t="s">
        <v>5283</v>
      </c>
      <c r="AZ411" s="3" t="s">
        <v>75</v>
      </c>
      <c r="BB411" s="3" t="s">
        <v>5284</v>
      </c>
      <c r="BC411" s="3" t="s">
        <v>5285</v>
      </c>
      <c r="BD411" s="3" t="s">
        <v>5286</v>
      </c>
    </row>
    <row r="412" spans="1:56" ht="39" customHeight="1" x14ac:dyDescent="0.25">
      <c r="A412" s="7" t="s">
        <v>58</v>
      </c>
      <c r="B412" s="2" t="s">
        <v>5287</v>
      </c>
      <c r="C412" s="2" t="s">
        <v>5288</v>
      </c>
      <c r="D412" s="2" t="s">
        <v>5289</v>
      </c>
      <c r="F412" s="3" t="s">
        <v>58</v>
      </c>
      <c r="G412" s="3" t="s">
        <v>59</v>
      </c>
      <c r="H412" s="3" t="s">
        <v>58</v>
      </c>
      <c r="I412" s="3" t="s">
        <v>58</v>
      </c>
      <c r="J412" s="3" t="s">
        <v>60</v>
      </c>
      <c r="K412" s="2" t="s">
        <v>5290</v>
      </c>
      <c r="L412" s="2" t="s">
        <v>5291</v>
      </c>
      <c r="M412" s="3" t="s">
        <v>544</v>
      </c>
      <c r="O412" s="3" t="s">
        <v>65</v>
      </c>
      <c r="P412" s="3" t="s">
        <v>346</v>
      </c>
      <c r="R412" s="3" t="s">
        <v>68</v>
      </c>
      <c r="S412" s="4">
        <v>1</v>
      </c>
      <c r="T412" s="4">
        <v>1</v>
      </c>
      <c r="U412" s="5" t="s">
        <v>3908</v>
      </c>
      <c r="V412" s="5" t="s">
        <v>3908</v>
      </c>
      <c r="W412" s="5" t="s">
        <v>3908</v>
      </c>
      <c r="X412" s="5" t="s">
        <v>3908</v>
      </c>
      <c r="Y412" s="4">
        <v>121</v>
      </c>
      <c r="Z412" s="4">
        <v>107</v>
      </c>
      <c r="AA412" s="4">
        <v>107</v>
      </c>
      <c r="AB412" s="4">
        <v>1</v>
      </c>
      <c r="AC412" s="4">
        <v>1</v>
      </c>
      <c r="AD412" s="4">
        <v>8</v>
      </c>
      <c r="AE412" s="4">
        <v>8</v>
      </c>
      <c r="AF412" s="4">
        <v>5</v>
      </c>
      <c r="AG412" s="4">
        <v>5</v>
      </c>
      <c r="AH412" s="4">
        <v>2</v>
      </c>
      <c r="AI412" s="4">
        <v>2</v>
      </c>
      <c r="AJ412" s="4">
        <v>2</v>
      </c>
      <c r="AK412" s="4">
        <v>2</v>
      </c>
      <c r="AL412" s="4">
        <v>0</v>
      </c>
      <c r="AM412" s="4">
        <v>0</v>
      </c>
      <c r="AN412" s="4">
        <v>0</v>
      </c>
      <c r="AO412" s="4">
        <v>0</v>
      </c>
      <c r="AP412" s="3" t="s">
        <v>58</v>
      </c>
      <c r="AQ412" s="3" t="s">
        <v>58</v>
      </c>
      <c r="AS412" s="6" t="str">
        <f>HYPERLINK("https://creighton-primo.hosted.exlibrisgroup.com/primo-explore/search?tab=default_tab&amp;search_scope=EVERYTHING&amp;vid=01CRU&amp;lang=en_US&amp;offset=0&amp;query=any,contains,991005117639702656","Catalog Record")</f>
        <v>Catalog Record</v>
      </c>
      <c r="AT412" s="6" t="str">
        <f>HYPERLINK("http://www.worldcat.org/oclc/40595282","WorldCat Record")</f>
        <v>WorldCat Record</v>
      </c>
      <c r="AU412" s="3" t="s">
        <v>5292</v>
      </c>
      <c r="AV412" s="3" t="s">
        <v>5293</v>
      </c>
      <c r="AW412" s="3" t="s">
        <v>5294</v>
      </c>
      <c r="AX412" s="3" t="s">
        <v>5294</v>
      </c>
      <c r="AY412" s="3" t="s">
        <v>5295</v>
      </c>
      <c r="AZ412" s="3" t="s">
        <v>75</v>
      </c>
      <c r="BB412" s="3" t="s">
        <v>5296</v>
      </c>
      <c r="BC412" s="3" t="s">
        <v>5297</v>
      </c>
      <c r="BD412" s="3" t="s">
        <v>5298</v>
      </c>
    </row>
    <row r="413" spans="1:56" ht="39" customHeight="1" x14ac:dyDescent="0.25">
      <c r="A413" s="7" t="s">
        <v>58</v>
      </c>
      <c r="B413" s="2" t="s">
        <v>5299</v>
      </c>
      <c r="C413" s="2" t="s">
        <v>5300</v>
      </c>
      <c r="D413" s="2" t="s">
        <v>5301</v>
      </c>
      <c r="F413" s="3" t="s">
        <v>58</v>
      </c>
      <c r="G413" s="3" t="s">
        <v>59</v>
      </c>
      <c r="H413" s="3" t="s">
        <v>58</v>
      </c>
      <c r="I413" s="3" t="s">
        <v>58</v>
      </c>
      <c r="J413" s="3" t="s">
        <v>60</v>
      </c>
      <c r="K413" s="2" t="s">
        <v>2994</v>
      </c>
      <c r="L413" s="2" t="s">
        <v>5302</v>
      </c>
      <c r="M413" s="3" t="s">
        <v>229</v>
      </c>
      <c r="O413" s="3" t="s">
        <v>65</v>
      </c>
      <c r="P413" s="3" t="s">
        <v>245</v>
      </c>
      <c r="R413" s="3" t="s">
        <v>68</v>
      </c>
      <c r="S413" s="4">
        <v>4</v>
      </c>
      <c r="T413" s="4">
        <v>4</v>
      </c>
      <c r="U413" s="5" t="s">
        <v>5303</v>
      </c>
      <c r="V413" s="5" t="s">
        <v>5303</v>
      </c>
      <c r="W413" s="5" t="s">
        <v>4710</v>
      </c>
      <c r="X413" s="5" t="s">
        <v>4710</v>
      </c>
      <c r="Y413" s="4">
        <v>133</v>
      </c>
      <c r="Z413" s="4">
        <v>113</v>
      </c>
      <c r="AA413" s="4">
        <v>148</v>
      </c>
      <c r="AB413" s="4">
        <v>2</v>
      </c>
      <c r="AC413" s="4">
        <v>2</v>
      </c>
      <c r="AD413" s="4">
        <v>6</v>
      </c>
      <c r="AE413" s="4">
        <v>10</v>
      </c>
      <c r="AF413" s="4">
        <v>2</v>
      </c>
      <c r="AG413" s="4">
        <v>3</v>
      </c>
      <c r="AH413" s="4">
        <v>1</v>
      </c>
      <c r="AI413" s="4">
        <v>1</v>
      </c>
      <c r="AJ413" s="4">
        <v>4</v>
      </c>
      <c r="AK413" s="4">
        <v>7</v>
      </c>
      <c r="AL413" s="4">
        <v>0</v>
      </c>
      <c r="AM413" s="4">
        <v>0</v>
      </c>
      <c r="AN413" s="4">
        <v>0</v>
      </c>
      <c r="AO413" s="4">
        <v>0</v>
      </c>
      <c r="AP413" s="3" t="s">
        <v>58</v>
      </c>
      <c r="AQ413" s="3" t="s">
        <v>58</v>
      </c>
      <c r="AS413" s="6" t="str">
        <f>HYPERLINK("https://creighton-primo.hosted.exlibrisgroup.com/primo-explore/search?tab=default_tab&amp;search_scope=EVERYTHING&amp;vid=01CRU&amp;lang=en_US&amp;offset=0&amp;query=any,contains,991001549549702656","Catalog Record")</f>
        <v>Catalog Record</v>
      </c>
      <c r="AT413" s="6" t="str">
        <f>HYPERLINK("http://www.worldcat.org/oclc/20217263","WorldCat Record")</f>
        <v>WorldCat Record</v>
      </c>
      <c r="AU413" s="3" t="s">
        <v>5304</v>
      </c>
      <c r="AV413" s="3" t="s">
        <v>5305</v>
      </c>
      <c r="AW413" s="3" t="s">
        <v>5306</v>
      </c>
      <c r="AX413" s="3" t="s">
        <v>5306</v>
      </c>
      <c r="AY413" s="3" t="s">
        <v>5307</v>
      </c>
      <c r="AZ413" s="3" t="s">
        <v>75</v>
      </c>
      <c r="BB413" s="3" t="s">
        <v>5308</v>
      </c>
      <c r="BC413" s="3" t="s">
        <v>5309</v>
      </c>
      <c r="BD413" s="3" t="s">
        <v>5310</v>
      </c>
    </row>
    <row r="414" spans="1:56" ht="39" customHeight="1" x14ac:dyDescent="0.25">
      <c r="A414" s="7" t="s">
        <v>58</v>
      </c>
      <c r="B414" s="2" t="s">
        <v>5311</v>
      </c>
      <c r="C414" s="2" t="s">
        <v>5312</v>
      </c>
      <c r="D414" s="2" t="s">
        <v>5313</v>
      </c>
      <c r="F414" s="3" t="s">
        <v>58</v>
      </c>
      <c r="G414" s="3" t="s">
        <v>59</v>
      </c>
      <c r="H414" s="3" t="s">
        <v>58</v>
      </c>
      <c r="I414" s="3" t="s">
        <v>58</v>
      </c>
      <c r="J414" s="3" t="s">
        <v>60</v>
      </c>
      <c r="K414" s="2" t="s">
        <v>5119</v>
      </c>
      <c r="L414" s="2" t="s">
        <v>5314</v>
      </c>
      <c r="M414" s="3" t="s">
        <v>128</v>
      </c>
      <c r="O414" s="3" t="s">
        <v>65</v>
      </c>
      <c r="P414" s="3" t="s">
        <v>186</v>
      </c>
      <c r="R414" s="3" t="s">
        <v>68</v>
      </c>
      <c r="S414" s="4">
        <v>3</v>
      </c>
      <c r="T414" s="4">
        <v>3</v>
      </c>
      <c r="U414" s="5" t="s">
        <v>5315</v>
      </c>
      <c r="V414" s="5" t="s">
        <v>5315</v>
      </c>
      <c r="W414" s="5" t="s">
        <v>4696</v>
      </c>
      <c r="X414" s="5" t="s">
        <v>4696</v>
      </c>
      <c r="Y414" s="4">
        <v>499</v>
      </c>
      <c r="Z414" s="4">
        <v>440</v>
      </c>
      <c r="AA414" s="4">
        <v>538</v>
      </c>
      <c r="AB414" s="4">
        <v>5</v>
      </c>
      <c r="AC414" s="4">
        <v>7</v>
      </c>
      <c r="AD414" s="4">
        <v>30</v>
      </c>
      <c r="AE414" s="4">
        <v>36</v>
      </c>
      <c r="AF414" s="4">
        <v>10</v>
      </c>
      <c r="AG414" s="4">
        <v>12</v>
      </c>
      <c r="AH414" s="4">
        <v>8</v>
      </c>
      <c r="AI414" s="4">
        <v>9</v>
      </c>
      <c r="AJ414" s="4">
        <v>17</v>
      </c>
      <c r="AK414" s="4">
        <v>19</v>
      </c>
      <c r="AL414" s="4">
        <v>3</v>
      </c>
      <c r="AM414" s="4">
        <v>5</v>
      </c>
      <c r="AN414" s="4">
        <v>0</v>
      </c>
      <c r="AO414" s="4">
        <v>0</v>
      </c>
      <c r="AP414" s="3" t="s">
        <v>58</v>
      </c>
      <c r="AQ414" s="3" t="s">
        <v>132</v>
      </c>
      <c r="AR414" s="6" t="str">
        <f>HYPERLINK("http://catalog.hathitrust.org/Record/006019257","HathiTrust Record")</f>
        <v>HathiTrust Record</v>
      </c>
      <c r="AS414" s="6" t="str">
        <f>HYPERLINK("https://creighton-primo.hosted.exlibrisgroup.com/primo-explore/search?tab=default_tab&amp;search_scope=EVERYTHING&amp;vid=01CRU&amp;lang=en_US&amp;offset=0&amp;query=any,contains,991004202099702656","Catalog Record")</f>
        <v>Catalog Record</v>
      </c>
      <c r="AT414" s="6" t="str">
        <f>HYPERLINK("http://www.worldcat.org/oclc/2655621","WorldCat Record")</f>
        <v>WorldCat Record</v>
      </c>
      <c r="AU414" s="3" t="s">
        <v>5316</v>
      </c>
      <c r="AV414" s="3" t="s">
        <v>5317</v>
      </c>
      <c r="AW414" s="3" t="s">
        <v>5318</v>
      </c>
      <c r="AX414" s="3" t="s">
        <v>5318</v>
      </c>
      <c r="AY414" s="3" t="s">
        <v>5319</v>
      </c>
      <c r="AZ414" s="3" t="s">
        <v>75</v>
      </c>
      <c r="BB414" s="3" t="s">
        <v>5320</v>
      </c>
      <c r="BC414" s="3" t="s">
        <v>5321</v>
      </c>
      <c r="BD414" s="3" t="s">
        <v>5322</v>
      </c>
    </row>
    <row r="415" spans="1:56" ht="39" customHeight="1" x14ac:dyDescent="0.25">
      <c r="A415" s="7" t="s">
        <v>58</v>
      </c>
      <c r="B415" s="2" t="s">
        <v>5323</v>
      </c>
      <c r="C415" s="2" t="s">
        <v>5324</v>
      </c>
      <c r="D415" s="2" t="s">
        <v>5325</v>
      </c>
      <c r="F415" s="3" t="s">
        <v>58</v>
      </c>
      <c r="G415" s="3" t="s">
        <v>59</v>
      </c>
      <c r="H415" s="3" t="s">
        <v>132</v>
      </c>
      <c r="I415" s="3" t="s">
        <v>58</v>
      </c>
      <c r="J415" s="3" t="s">
        <v>60</v>
      </c>
      <c r="K415" s="2" t="s">
        <v>5326</v>
      </c>
      <c r="L415" s="2" t="s">
        <v>2792</v>
      </c>
      <c r="M415" s="3" t="s">
        <v>2418</v>
      </c>
      <c r="O415" s="3" t="s">
        <v>65</v>
      </c>
      <c r="P415" s="3" t="s">
        <v>186</v>
      </c>
      <c r="R415" s="3" t="s">
        <v>68</v>
      </c>
      <c r="S415" s="4">
        <v>2</v>
      </c>
      <c r="T415" s="4">
        <v>2</v>
      </c>
      <c r="U415" s="5" t="s">
        <v>5327</v>
      </c>
      <c r="V415" s="5" t="s">
        <v>5327</v>
      </c>
      <c r="W415" s="5" t="s">
        <v>4696</v>
      </c>
      <c r="X415" s="5" t="s">
        <v>4696</v>
      </c>
      <c r="Y415" s="4">
        <v>274</v>
      </c>
      <c r="Z415" s="4">
        <v>243</v>
      </c>
      <c r="AA415" s="4">
        <v>245</v>
      </c>
      <c r="AB415" s="4">
        <v>2</v>
      </c>
      <c r="AC415" s="4">
        <v>2</v>
      </c>
      <c r="AD415" s="4">
        <v>10</v>
      </c>
      <c r="AE415" s="4">
        <v>10</v>
      </c>
      <c r="AF415" s="4">
        <v>2</v>
      </c>
      <c r="AG415" s="4">
        <v>2</v>
      </c>
      <c r="AH415" s="4">
        <v>2</v>
      </c>
      <c r="AI415" s="4">
        <v>2</v>
      </c>
      <c r="AJ415" s="4">
        <v>8</v>
      </c>
      <c r="AK415" s="4">
        <v>8</v>
      </c>
      <c r="AL415" s="4">
        <v>0</v>
      </c>
      <c r="AM415" s="4">
        <v>0</v>
      </c>
      <c r="AN415" s="4">
        <v>0</v>
      </c>
      <c r="AO415" s="4">
        <v>0</v>
      </c>
      <c r="AP415" s="3" t="s">
        <v>58</v>
      </c>
      <c r="AQ415" s="3" t="s">
        <v>132</v>
      </c>
      <c r="AR415" s="6" t="str">
        <f>HYPERLINK("http://catalog.hathitrust.org/Record/001414391","HathiTrust Record")</f>
        <v>HathiTrust Record</v>
      </c>
      <c r="AS415" s="6" t="str">
        <f>HYPERLINK("https://creighton-primo.hosted.exlibrisgroup.com/primo-explore/search?tab=default_tab&amp;search_scope=EVERYTHING&amp;vid=01CRU&amp;lang=en_US&amp;offset=0&amp;query=any,contains,991001763849702656","Catalog Record")</f>
        <v>Catalog Record</v>
      </c>
      <c r="AT415" s="6" t="str">
        <f>HYPERLINK("http://www.worldcat.org/oclc/488486","WorldCat Record")</f>
        <v>WorldCat Record</v>
      </c>
      <c r="AU415" s="3" t="s">
        <v>5328</v>
      </c>
      <c r="AV415" s="3" t="s">
        <v>5329</v>
      </c>
      <c r="AW415" s="3" t="s">
        <v>5330</v>
      </c>
      <c r="AX415" s="3" t="s">
        <v>5330</v>
      </c>
      <c r="AY415" s="3" t="s">
        <v>5331</v>
      </c>
      <c r="AZ415" s="3" t="s">
        <v>75</v>
      </c>
      <c r="BB415" s="3" t="s">
        <v>5332</v>
      </c>
      <c r="BC415" s="3" t="s">
        <v>5333</v>
      </c>
      <c r="BD415" s="3" t="s">
        <v>5334</v>
      </c>
    </row>
    <row r="416" spans="1:56" ht="39" customHeight="1" x14ac:dyDescent="0.25">
      <c r="A416" s="7" t="s">
        <v>58</v>
      </c>
      <c r="B416" s="2" t="s">
        <v>5335</v>
      </c>
      <c r="C416" s="2" t="s">
        <v>5336</v>
      </c>
      <c r="D416" s="2" t="s">
        <v>5337</v>
      </c>
      <c r="F416" s="3" t="s">
        <v>58</v>
      </c>
      <c r="G416" s="3" t="s">
        <v>59</v>
      </c>
      <c r="H416" s="3" t="s">
        <v>58</v>
      </c>
      <c r="I416" s="3" t="s">
        <v>58</v>
      </c>
      <c r="J416" s="3" t="s">
        <v>60</v>
      </c>
      <c r="K416" s="2" t="s">
        <v>5338</v>
      </c>
      <c r="L416" s="2" t="s">
        <v>5339</v>
      </c>
      <c r="M416" s="3" t="s">
        <v>871</v>
      </c>
      <c r="O416" s="3" t="s">
        <v>65</v>
      </c>
      <c r="P416" s="3" t="s">
        <v>113</v>
      </c>
      <c r="R416" s="3" t="s">
        <v>68</v>
      </c>
      <c r="S416" s="4">
        <v>2</v>
      </c>
      <c r="T416" s="4">
        <v>2</v>
      </c>
      <c r="U416" s="5" t="s">
        <v>5135</v>
      </c>
      <c r="V416" s="5" t="s">
        <v>5135</v>
      </c>
      <c r="W416" s="5" t="s">
        <v>4696</v>
      </c>
      <c r="X416" s="5" t="s">
        <v>4696</v>
      </c>
      <c r="Y416" s="4">
        <v>97</v>
      </c>
      <c r="Z416" s="4">
        <v>92</v>
      </c>
      <c r="AA416" s="4">
        <v>98</v>
      </c>
      <c r="AB416" s="4">
        <v>1</v>
      </c>
      <c r="AC416" s="4">
        <v>1</v>
      </c>
      <c r="AD416" s="4">
        <v>13</v>
      </c>
      <c r="AE416" s="4">
        <v>13</v>
      </c>
      <c r="AF416" s="4">
        <v>4</v>
      </c>
      <c r="AG416" s="4">
        <v>4</v>
      </c>
      <c r="AH416" s="4">
        <v>3</v>
      </c>
      <c r="AI416" s="4">
        <v>3</v>
      </c>
      <c r="AJ416" s="4">
        <v>12</v>
      </c>
      <c r="AK416" s="4">
        <v>12</v>
      </c>
      <c r="AL416" s="4">
        <v>0</v>
      </c>
      <c r="AM416" s="4">
        <v>0</v>
      </c>
      <c r="AN416" s="4">
        <v>0</v>
      </c>
      <c r="AO416" s="4">
        <v>0</v>
      </c>
      <c r="AP416" s="3" t="s">
        <v>58</v>
      </c>
      <c r="AQ416" s="3" t="s">
        <v>58</v>
      </c>
      <c r="AS416" s="6" t="str">
        <f>HYPERLINK("https://creighton-primo.hosted.exlibrisgroup.com/primo-explore/search?tab=default_tab&amp;search_scope=EVERYTHING&amp;vid=01CRU&amp;lang=en_US&amp;offset=0&amp;query=any,contains,991004200249702656","Catalog Record")</f>
        <v>Catalog Record</v>
      </c>
      <c r="AT416" s="6" t="str">
        <f>HYPERLINK("http://www.worldcat.org/oclc/2650218","WorldCat Record")</f>
        <v>WorldCat Record</v>
      </c>
      <c r="AU416" s="3" t="s">
        <v>5340</v>
      </c>
      <c r="AV416" s="3" t="s">
        <v>5341</v>
      </c>
      <c r="AW416" s="3" t="s">
        <v>5342</v>
      </c>
      <c r="AX416" s="3" t="s">
        <v>5342</v>
      </c>
      <c r="AY416" s="3" t="s">
        <v>5343</v>
      </c>
      <c r="AZ416" s="3" t="s">
        <v>75</v>
      </c>
      <c r="BC416" s="3" t="s">
        <v>5344</v>
      </c>
      <c r="BD416" s="3" t="s">
        <v>5345</v>
      </c>
    </row>
    <row r="417" spans="1:56" ht="39" customHeight="1" x14ac:dyDescent="0.25">
      <c r="A417" s="7" t="s">
        <v>58</v>
      </c>
      <c r="B417" s="2" t="s">
        <v>5346</v>
      </c>
      <c r="C417" s="2" t="s">
        <v>5347</v>
      </c>
      <c r="D417" s="2" t="s">
        <v>5348</v>
      </c>
      <c r="F417" s="3" t="s">
        <v>58</v>
      </c>
      <c r="G417" s="3" t="s">
        <v>59</v>
      </c>
      <c r="H417" s="3" t="s">
        <v>58</v>
      </c>
      <c r="I417" s="3" t="s">
        <v>58</v>
      </c>
      <c r="J417" s="3" t="s">
        <v>60</v>
      </c>
      <c r="K417" s="2" t="s">
        <v>5349</v>
      </c>
      <c r="L417" s="2" t="s">
        <v>5350</v>
      </c>
      <c r="M417" s="3" t="s">
        <v>1424</v>
      </c>
      <c r="O417" s="3" t="s">
        <v>65</v>
      </c>
      <c r="P417" s="3" t="s">
        <v>954</v>
      </c>
      <c r="R417" s="3" t="s">
        <v>68</v>
      </c>
      <c r="S417" s="4">
        <v>10</v>
      </c>
      <c r="T417" s="4">
        <v>10</v>
      </c>
      <c r="U417" s="5" t="s">
        <v>5351</v>
      </c>
      <c r="V417" s="5" t="s">
        <v>5351</v>
      </c>
      <c r="W417" s="5" t="s">
        <v>5352</v>
      </c>
      <c r="X417" s="5" t="s">
        <v>5352</v>
      </c>
      <c r="Y417" s="4">
        <v>280</v>
      </c>
      <c r="Z417" s="4">
        <v>267</v>
      </c>
      <c r="AA417" s="4">
        <v>270</v>
      </c>
      <c r="AB417" s="4">
        <v>4</v>
      </c>
      <c r="AC417" s="4">
        <v>4</v>
      </c>
      <c r="AD417" s="4">
        <v>15</v>
      </c>
      <c r="AE417" s="4">
        <v>15</v>
      </c>
      <c r="AF417" s="4">
        <v>6</v>
      </c>
      <c r="AG417" s="4">
        <v>6</v>
      </c>
      <c r="AH417" s="4">
        <v>3</v>
      </c>
      <c r="AI417" s="4">
        <v>3</v>
      </c>
      <c r="AJ417" s="4">
        <v>9</v>
      </c>
      <c r="AK417" s="4">
        <v>9</v>
      </c>
      <c r="AL417" s="4">
        <v>3</v>
      </c>
      <c r="AM417" s="4">
        <v>3</v>
      </c>
      <c r="AN417" s="4">
        <v>0</v>
      </c>
      <c r="AO417" s="4">
        <v>0</v>
      </c>
      <c r="AP417" s="3" t="s">
        <v>58</v>
      </c>
      <c r="AQ417" s="3" t="s">
        <v>132</v>
      </c>
      <c r="AR417" s="6" t="str">
        <f>HYPERLINK("http://catalog.hathitrust.org/Record/101870547","HathiTrust Record")</f>
        <v>HathiTrust Record</v>
      </c>
      <c r="AS417" s="6" t="str">
        <f>HYPERLINK("https://creighton-primo.hosted.exlibrisgroup.com/primo-explore/search?tab=default_tab&amp;search_scope=EVERYTHING&amp;vid=01CRU&amp;lang=en_US&amp;offset=0&amp;query=any,contains,991003568389702656","Catalog Record")</f>
        <v>Catalog Record</v>
      </c>
      <c r="AT417" s="6" t="str">
        <f>HYPERLINK("http://www.worldcat.org/oclc/1142530","WorldCat Record")</f>
        <v>WorldCat Record</v>
      </c>
      <c r="AU417" s="3" t="s">
        <v>5353</v>
      </c>
      <c r="AV417" s="3" t="s">
        <v>5354</v>
      </c>
      <c r="AW417" s="3" t="s">
        <v>5355</v>
      </c>
      <c r="AX417" s="3" t="s">
        <v>5355</v>
      </c>
      <c r="AY417" s="3" t="s">
        <v>5356</v>
      </c>
      <c r="AZ417" s="3" t="s">
        <v>75</v>
      </c>
      <c r="BC417" s="3" t="s">
        <v>5357</v>
      </c>
      <c r="BD417" s="3" t="s">
        <v>5358</v>
      </c>
    </row>
    <row r="418" spans="1:56" ht="39" customHeight="1" x14ac:dyDescent="0.25">
      <c r="A418" s="7" t="s">
        <v>58</v>
      </c>
      <c r="B418" s="2" t="s">
        <v>5359</v>
      </c>
      <c r="C418" s="2" t="s">
        <v>5360</v>
      </c>
      <c r="D418" s="2" t="s">
        <v>5361</v>
      </c>
      <c r="F418" s="3" t="s">
        <v>58</v>
      </c>
      <c r="G418" s="3" t="s">
        <v>59</v>
      </c>
      <c r="H418" s="3" t="s">
        <v>58</v>
      </c>
      <c r="I418" s="3" t="s">
        <v>58</v>
      </c>
      <c r="J418" s="3" t="s">
        <v>60</v>
      </c>
      <c r="K418" s="2" t="s">
        <v>5362</v>
      </c>
      <c r="L418" s="2" t="s">
        <v>5363</v>
      </c>
      <c r="M418" s="3" t="s">
        <v>2119</v>
      </c>
      <c r="O418" s="3" t="s">
        <v>65</v>
      </c>
      <c r="P418" s="3" t="s">
        <v>186</v>
      </c>
      <c r="R418" s="3" t="s">
        <v>68</v>
      </c>
      <c r="S418" s="4">
        <v>3</v>
      </c>
      <c r="T418" s="4">
        <v>3</v>
      </c>
      <c r="U418" s="5" t="s">
        <v>5364</v>
      </c>
      <c r="V418" s="5" t="s">
        <v>5364</v>
      </c>
      <c r="W418" s="5" t="s">
        <v>2156</v>
      </c>
      <c r="X418" s="5" t="s">
        <v>2156</v>
      </c>
      <c r="Y418" s="4">
        <v>575</v>
      </c>
      <c r="Z418" s="4">
        <v>489</v>
      </c>
      <c r="AA418" s="4">
        <v>520</v>
      </c>
      <c r="AB418" s="4">
        <v>5</v>
      </c>
      <c r="AC418" s="4">
        <v>5</v>
      </c>
      <c r="AD418" s="4">
        <v>24</v>
      </c>
      <c r="AE418" s="4">
        <v>26</v>
      </c>
      <c r="AF418" s="4">
        <v>11</v>
      </c>
      <c r="AG418" s="4">
        <v>12</v>
      </c>
      <c r="AH418" s="4">
        <v>2</v>
      </c>
      <c r="AI418" s="4">
        <v>2</v>
      </c>
      <c r="AJ418" s="4">
        <v>12</v>
      </c>
      <c r="AK418" s="4">
        <v>13</v>
      </c>
      <c r="AL418" s="4">
        <v>3</v>
      </c>
      <c r="AM418" s="4">
        <v>3</v>
      </c>
      <c r="AN418" s="4">
        <v>0</v>
      </c>
      <c r="AO418" s="4">
        <v>0</v>
      </c>
      <c r="AP418" s="3" t="s">
        <v>58</v>
      </c>
      <c r="AQ418" s="3" t="s">
        <v>132</v>
      </c>
      <c r="AR418" s="6" t="str">
        <f>HYPERLINK("http://catalog.hathitrust.org/Record/001414402","HathiTrust Record")</f>
        <v>HathiTrust Record</v>
      </c>
      <c r="AS418" s="6" t="str">
        <f>HYPERLINK("https://creighton-primo.hosted.exlibrisgroup.com/primo-explore/search?tab=default_tab&amp;search_scope=EVERYTHING&amp;vid=01CRU&amp;lang=en_US&amp;offset=0&amp;query=any,contains,991002992949702656","Catalog Record")</f>
        <v>Catalog Record</v>
      </c>
      <c r="AT418" s="6" t="str">
        <f>HYPERLINK("http://www.worldcat.org/oclc/31929455","WorldCat Record")</f>
        <v>WorldCat Record</v>
      </c>
      <c r="AU418" s="3" t="s">
        <v>5365</v>
      </c>
      <c r="AV418" s="3" t="s">
        <v>5366</v>
      </c>
      <c r="AW418" s="3" t="s">
        <v>5367</v>
      </c>
      <c r="AX418" s="3" t="s">
        <v>5367</v>
      </c>
      <c r="AY418" s="3" t="s">
        <v>5368</v>
      </c>
      <c r="AZ418" s="3" t="s">
        <v>75</v>
      </c>
      <c r="BC418" s="3" t="s">
        <v>5369</v>
      </c>
      <c r="BD418" s="3" t="s">
        <v>5370</v>
      </c>
    </row>
    <row r="419" spans="1:56" ht="39" customHeight="1" x14ac:dyDescent="0.25">
      <c r="A419" s="7" t="s">
        <v>58</v>
      </c>
      <c r="B419" s="2" t="s">
        <v>5371</v>
      </c>
      <c r="C419" s="2" t="s">
        <v>5372</v>
      </c>
      <c r="D419" s="2" t="s">
        <v>5373</v>
      </c>
      <c r="F419" s="3" t="s">
        <v>58</v>
      </c>
      <c r="G419" s="3" t="s">
        <v>59</v>
      </c>
      <c r="H419" s="3" t="s">
        <v>58</v>
      </c>
      <c r="I419" s="3" t="s">
        <v>58</v>
      </c>
      <c r="J419" s="3" t="s">
        <v>60</v>
      </c>
      <c r="K419" s="2" t="s">
        <v>5374</v>
      </c>
      <c r="L419" s="2" t="s">
        <v>5375</v>
      </c>
      <c r="M419" s="3" t="s">
        <v>871</v>
      </c>
      <c r="O419" s="3" t="s">
        <v>65</v>
      </c>
      <c r="P419" s="3" t="s">
        <v>492</v>
      </c>
      <c r="Q419" s="2" t="s">
        <v>5376</v>
      </c>
      <c r="R419" s="3" t="s">
        <v>68</v>
      </c>
      <c r="S419" s="4">
        <v>1</v>
      </c>
      <c r="T419" s="4">
        <v>1</v>
      </c>
      <c r="U419" s="5" t="s">
        <v>5327</v>
      </c>
      <c r="V419" s="5" t="s">
        <v>5327</v>
      </c>
      <c r="W419" s="5" t="s">
        <v>3869</v>
      </c>
      <c r="X419" s="5" t="s">
        <v>3869</v>
      </c>
      <c r="Y419" s="4">
        <v>388</v>
      </c>
      <c r="Z419" s="4">
        <v>356</v>
      </c>
      <c r="AA419" s="4">
        <v>392</v>
      </c>
      <c r="AB419" s="4">
        <v>3</v>
      </c>
      <c r="AC419" s="4">
        <v>4</v>
      </c>
      <c r="AD419" s="4">
        <v>29</v>
      </c>
      <c r="AE419" s="4">
        <v>31</v>
      </c>
      <c r="AF419" s="4">
        <v>13</v>
      </c>
      <c r="AG419" s="4">
        <v>14</v>
      </c>
      <c r="AH419" s="4">
        <v>6</v>
      </c>
      <c r="AI419" s="4">
        <v>7</v>
      </c>
      <c r="AJ419" s="4">
        <v>20</v>
      </c>
      <c r="AK419" s="4">
        <v>21</v>
      </c>
      <c r="AL419" s="4">
        <v>1</v>
      </c>
      <c r="AM419" s="4">
        <v>1</v>
      </c>
      <c r="AN419" s="4">
        <v>0</v>
      </c>
      <c r="AO419" s="4">
        <v>0</v>
      </c>
      <c r="AP419" s="3" t="s">
        <v>58</v>
      </c>
      <c r="AQ419" s="3" t="s">
        <v>132</v>
      </c>
      <c r="AR419" s="6" t="str">
        <f>HYPERLINK("http://catalog.hathitrust.org/Record/001400956","HathiTrust Record")</f>
        <v>HathiTrust Record</v>
      </c>
      <c r="AS419" s="6" t="str">
        <f>HYPERLINK("https://creighton-primo.hosted.exlibrisgroup.com/primo-explore/search?tab=default_tab&amp;search_scope=EVERYTHING&amp;vid=01CRU&amp;lang=en_US&amp;offset=0&amp;query=any,contains,991002758399702656","Catalog Record")</f>
        <v>Catalog Record</v>
      </c>
      <c r="AT419" s="6" t="str">
        <f>HYPERLINK("http://www.worldcat.org/oclc/427172","WorldCat Record")</f>
        <v>WorldCat Record</v>
      </c>
      <c r="AU419" s="3" t="s">
        <v>5377</v>
      </c>
      <c r="AV419" s="3" t="s">
        <v>5378</v>
      </c>
      <c r="AW419" s="3" t="s">
        <v>5379</v>
      </c>
      <c r="AX419" s="3" t="s">
        <v>5379</v>
      </c>
      <c r="AY419" s="3" t="s">
        <v>5380</v>
      </c>
      <c r="AZ419" s="3" t="s">
        <v>75</v>
      </c>
      <c r="BC419" s="3" t="s">
        <v>5381</v>
      </c>
      <c r="BD419" s="3" t="s">
        <v>5382</v>
      </c>
    </row>
    <row r="420" spans="1:56" ht="39" customHeight="1" x14ac:dyDescent="0.25">
      <c r="A420" s="7" t="s">
        <v>58</v>
      </c>
      <c r="B420" s="2" t="s">
        <v>5383</v>
      </c>
      <c r="C420" s="2" t="s">
        <v>5384</v>
      </c>
      <c r="D420" s="2" t="s">
        <v>5385</v>
      </c>
      <c r="F420" s="3" t="s">
        <v>58</v>
      </c>
      <c r="G420" s="3" t="s">
        <v>59</v>
      </c>
      <c r="H420" s="3" t="s">
        <v>58</v>
      </c>
      <c r="I420" s="3" t="s">
        <v>58</v>
      </c>
      <c r="J420" s="3" t="s">
        <v>60</v>
      </c>
      <c r="K420" s="2" t="s">
        <v>5386</v>
      </c>
      <c r="L420" s="2" t="s">
        <v>5387</v>
      </c>
      <c r="M420" s="3" t="s">
        <v>289</v>
      </c>
      <c r="O420" s="3" t="s">
        <v>65</v>
      </c>
      <c r="P420" s="3" t="s">
        <v>1246</v>
      </c>
      <c r="R420" s="3" t="s">
        <v>68</v>
      </c>
      <c r="S420" s="4">
        <v>2</v>
      </c>
      <c r="T420" s="4">
        <v>2</v>
      </c>
      <c r="U420" s="5" t="s">
        <v>1034</v>
      </c>
      <c r="V420" s="5" t="s">
        <v>1034</v>
      </c>
      <c r="W420" s="5" t="s">
        <v>1034</v>
      </c>
      <c r="X420" s="5" t="s">
        <v>1034</v>
      </c>
      <c r="Y420" s="4">
        <v>210</v>
      </c>
      <c r="Z420" s="4">
        <v>182</v>
      </c>
      <c r="AA420" s="4">
        <v>188</v>
      </c>
      <c r="AB420" s="4">
        <v>3</v>
      </c>
      <c r="AC420" s="4">
        <v>3</v>
      </c>
      <c r="AD420" s="4">
        <v>17</v>
      </c>
      <c r="AE420" s="4">
        <v>17</v>
      </c>
      <c r="AF420" s="4">
        <v>3</v>
      </c>
      <c r="AG420" s="4">
        <v>3</v>
      </c>
      <c r="AH420" s="4">
        <v>5</v>
      </c>
      <c r="AI420" s="4">
        <v>5</v>
      </c>
      <c r="AJ420" s="4">
        <v>13</v>
      </c>
      <c r="AK420" s="4">
        <v>13</v>
      </c>
      <c r="AL420" s="4">
        <v>1</v>
      </c>
      <c r="AM420" s="4">
        <v>1</v>
      </c>
      <c r="AN420" s="4">
        <v>0</v>
      </c>
      <c r="AO420" s="4">
        <v>0</v>
      </c>
      <c r="AP420" s="3" t="s">
        <v>58</v>
      </c>
      <c r="AQ420" s="3" t="s">
        <v>58</v>
      </c>
      <c r="AS420" s="6" t="str">
        <f>HYPERLINK("https://creighton-primo.hosted.exlibrisgroup.com/primo-explore/search?tab=default_tab&amp;search_scope=EVERYTHING&amp;vid=01CRU&amp;lang=en_US&amp;offset=0&amp;query=any,contains,991005090509702656","Catalog Record")</f>
        <v>Catalog Record</v>
      </c>
      <c r="AT420" s="6" t="str">
        <f>HYPERLINK("http://www.worldcat.org/oclc/7628073","WorldCat Record")</f>
        <v>WorldCat Record</v>
      </c>
      <c r="AU420" s="3" t="s">
        <v>5388</v>
      </c>
      <c r="AV420" s="3" t="s">
        <v>5389</v>
      </c>
      <c r="AW420" s="3" t="s">
        <v>5390</v>
      </c>
      <c r="AX420" s="3" t="s">
        <v>5390</v>
      </c>
      <c r="AY420" s="3" t="s">
        <v>5391</v>
      </c>
      <c r="AZ420" s="3" t="s">
        <v>75</v>
      </c>
      <c r="BB420" s="3" t="s">
        <v>5392</v>
      </c>
      <c r="BC420" s="3" t="s">
        <v>5393</v>
      </c>
      <c r="BD420" s="3" t="s">
        <v>5394</v>
      </c>
    </row>
    <row r="421" spans="1:56" ht="39" customHeight="1" x14ac:dyDescent="0.25">
      <c r="A421" s="7" t="s">
        <v>58</v>
      </c>
      <c r="B421" s="2" t="s">
        <v>5395</v>
      </c>
      <c r="C421" s="2" t="s">
        <v>5396</v>
      </c>
      <c r="D421" s="2" t="s">
        <v>5397</v>
      </c>
      <c r="F421" s="3" t="s">
        <v>58</v>
      </c>
      <c r="G421" s="3" t="s">
        <v>59</v>
      </c>
      <c r="H421" s="3" t="s">
        <v>58</v>
      </c>
      <c r="I421" s="3" t="s">
        <v>58</v>
      </c>
      <c r="J421" s="3" t="s">
        <v>60</v>
      </c>
      <c r="L421" s="2" t="s">
        <v>5398</v>
      </c>
      <c r="M421" s="3" t="s">
        <v>631</v>
      </c>
      <c r="O421" s="3" t="s">
        <v>65</v>
      </c>
      <c r="P421" s="3" t="s">
        <v>230</v>
      </c>
      <c r="R421" s="3" t="s">
        <v>68</v>
      </c>
      <c r="S421" s="4">
        <v>3</v>
      </c>
      <c r="T421" s="4">
        <v>3</v>
      </c>
      <c r="U421" s="5" t="s">
        <v>391</v>
      </c>
      <c r="V421" s="5" t="s">
        <v>391</v>
      </c>
      <c r="W421" s="5" t="s">
        <v>2156</v>
      </c>
      <c r="X421" s="5" t="s">
        <v>2156</v>
      </c>
      <c r="Y421" s="4">
        <v>323</v>
      </c>
      <c r="Z421" s="4">
        <v>283</v>
      </c>
      <c r="AA421" s="4">
        <v>290</v>
      </c>
      <c r="AB421" s="4">
        <v>4</v>
      </c>
      <c r="AC421" s="4">
        <v>4</v>
      </c>
      <c r="AD421" s="4">
        <v>17</v>
      </c>
      <c r="AE421" s="4">
        <v>17</v>
      </c>
      <c r="AF421" s="4">
        <v>6</v>
      </c>
      <c r="AG421" s="4">
        <v>6</v>
      </c>
      <c r="AH421" s="4">
        <v>2</v>
      </c>
      <c r="AI421" s="4">
        <v>2</v>
      </c>
      <c r="AJ421" s="4">
        <v>9</v>
      </c>
      <c r="AK421" s="4">
        <v>9</v>
      </c>
      <c r="AL421" s="4">
        <v>2</v>
      </c>
      <c r="AM421" s="4">
        <v>2</v>
      </c>
      <c r="AN421" s="4">
        <v>0</v>
      </c>
      <c r="AO421" s="4">
        <v>0</v>
      </c>
      <c r="AP421" s="3" t="s">
        <v>58</v>
      </c>
      <c r="AQ421" s="3" t="s">
        <v>132</v>
      </c>
      <c r="AR421" s="6" t="str">
        <f>HYPERLINK("http://catalog.hathitrust.org/Record/000019837","HathiTrust Record")</f>
        <v>HathiTrust Record</v>
      </c>
      <c r="AS421" s="6" t="str">
        <f>HYPERLINK("https://creighton-primo.hosted.exlibrisgroup.com/primo-explore/search?tab=default_tab&amp;search_scope=EVERYTHING&amp;vid=01CRU&amp;lang=en_US&amp;offset=0&amp;query=any,contains,991003807279702656","Catalog Record")</f>
        <v>Catalog Record</v>
      </c>
      <c r="AT421" s="6" t="str">
        <f>HYPERLINK("http://www.worldcat.org/oclc/1531556","WorldCat Record")</f>
        <v>WorldCat Record</v>
      </c>
      <c r="AU421" s="3" t="s">
        <v>5399</v>
      </c>
      <c r="AV421" s="3" t="s">
        <v>5400</v>
      </c>
      <c r="AW421" s="3" t="s">
        <v>5401</v>
      </c>
      <c r="AX421" s="3" t="s">
        <v>5401</v>
      </c>
      <c r="AY421" s="3" t="s">
        <v>5402</v>
      </c>
      <c r="AZ421" s="3" t="s">
        <v>75</v>
      </c>
      <c r="BB421" s="3" t="s">
        <v>5403</v>
      </c>
      <c r="BC421" s="3" t="s">
        <v>5404</v>
      </c>
      <c r="BD421" s="3" t="s">
        <v>5405</v>
      </c>
    </row>
    <row r="422" spans="1:56" ht="39" customHeight="1" x14ac:dyDescent="0.25">
      <c r="A422" s="7" t="s">
        <v>58</v>
      </c>
      <c r="B422" s="2" t="s">
        <v>5406</v>
      </c>
      <c r="C422" s="2" t="s">
        <v>5407</v>
      </c>
      <c r="D422" s="2" t="s">
        <v>5408</v>
      </c>
      <c r="F422" s="3" t="s">
        <v>58</v>
      </c>
      <c r="G422" s="3" t="s">
        <v>59</v>
      </c>
      <c r="H422" s="3" t="s">
        <v>58</v>
      </c>
      <c r="I422" s="3" t="s">
        <v>58</v>
      </c>
      <c r="J422" s="3" t="s">
        <v>60</v>
      </c>
      <c r="K422" s="2" t="s">
        <v>5409</v>
      </c>
      <c r="L422" s="2" t="s">
        <v>5410</v>
      </c>
      <c r="M422" s="3" t="s">
        <v>5411</v>
      </c>
      <c r="O422" s="3" t="s">
        <v>65</v>
      </c>
      <c r="P422" s="3" t="s">
        <v>5412</v>
      </c>
      <c r="R422" s="3" t="s">
        <v>68</v>
      </c>
      <c r="S422" s="4">
        <v>3</v>
      </c>
      <c r="T422" s="4">
        <v>3</v>
      </c>
      <c r="U422" s="5" t="s">
        <v>5413</v>
      </c>
      <c r="V422" s="5" t="s">
        <v>5413</v>
      </c>
      <c r="W422" s="5" t="s">
        <v>3869</v>
      </c>
      <c r="X422" s="5" t="s">
        <v>3869</v>
      </c>
      <c r="Y422" s="4">
        <v>41</v>
      </c>
      <c r="Z422" s="4">
        <v>31</v>
      </c>
      <c r="AA422" s="4">
        <v>59</v>
      </c>
      <c r="AB422" s="4">
        <v>1</v>
      </c>
      <c r="AC422" s="4">
        <v>1</v>
      </c>
      <c r="AD422" s="4">
        <v>12</v>
      </c>
      <c r="AE422" s="4">
        <v>15</v>
      </c>
      <c r="AF422" s="4">
        <v>1</v>
      </c>
      <c r="AG422" s="4">
        <v>2</v>
      </c>
      <c r="AH422" s="4">
        <v>4</v>
      </c>
      <c r="AI422" s="4">
        <v>4</v>
      </c>
      <c r="AJ422" s="4">
        <v>10</v>
      </c>
      <c r="AK422" s="4">
        <v>13</v>
      </c>
      <c r="AL422" s="4">
        <v>0</v>
      </c>
      <c r="AM422" s="4">
        <v>0</v>
      </c>
      <c r="AN422" s="4">
        <v>0</v>
      </c>
      <c r="AO422" s="4">
        <v>0</v>
      </c>
      <c r="AP422" s="3" t="s">
        <v>58</v>
      </c>
      <c r="AQ422" s="3" t="s">
        <v>58</v>
      </c>
      <c r="AS422" s="6" t="str">
        <f>HYPERLINK("https://creighton-primo.hosted.exlibrisgroup.com/primo-explore/search?tab=default_tab&amp;search_scope=EVERYTHING&amp;vid=01CRU&amp;lang=en_US&amp;offset=0&amp;query=any,contains,991005109259702656","Catalog Record")</f>
        <v>Catalog Record</v>
      </c>
      <c r="AT422" s="6" t="str">
        <f>HYPERLINK("http://www.worldcat.org/oclc/7393809","WorldCat Record")</f>
        <v>WorldCat Record</v>
      </c>
      <c r="AU422" s="3" t="s">
        <v>5414</v>
      </c>
      <c r="AV422" s="3" t="s">
        <v>5415</v>
      </c>
      <c r="AW422" s="3" t="s">
        <v>5416</v>
      </c>
      <c r="AX422" s="3" t="s">
        <v>5416</v>
      </c>
      <c r="AY422" s="3" t="s">
        <v>5417</v>
      </c>
      <c r="AZ422" s="3" t="s">
        <v>75</v>
      </c>
      <c r="BC422" s="3" t="s">
        <v>5418</v>
      </c>
      <c r="BD422" s="3" t="s">
        <v>5419</v>
      </c>
    </row>
    <row r="423" spans="1:56" ht="39" customHeight="1" x14ac:dyDescent="0.25">
      <c r="A423" s="7" t="s">
        <v>58</v>
      </c>
      <c r="B423" s="2" t="s">
        <v>5420</v>
      </c>
      <c r="C423" s="2" t="s">
        <v>5421</v>
      </c>
      <c r="D423" s="2" t="s">
        <v>5422</v>
      </c>
      <c r="F423" s="3" t="s">
        <v>58</v>
      </c>
      <c r="G423" s="3" t="s">
        <v>59</v>
      </c>
      <c r="H423" s="3" t="s">
        <v>58</v>
      </c>
      <c r="I423" s="3" t="s">
        <v>58</v>
      </c>
      <c r="J423" s="3" t="s">
        <v>60</v>
      </c>
      <c r="K423" s="2" t="s">
        <v>5423</v>
      </c>
      <c r="L423" s="2" t="s">
        <v>5424</v>
      </c>
      <c r="M423" s="3" t="s">
        <v>427</v>
      </c>
      <c r="O423" s="3" t="s">
        <v>65</v>
      </c>
      <c r="P423" s="3" t="s">
        <v>346</v>
      </c>
      <c r="R423" s="3" t="s">
        <v>68</v>
      </c>
      <c r="S423" s="4">
        <v>4</v>
      </c>
      <c r="T423" s="4">
        <v>4</v>
      </c>
      <c r="U423" s="5" t="s">
        <v>5425</v>
      </c>
      <c r="V423" s="5" t="s">
        <v>5425</v>
      </c>
      <c r="W423" s="5" t="s">
        <v>5426</v>
      </c>
      <c r="X423" s="5" t="s">
        <v>5426</v>
      </c>
      <c r="Y423" s="4">
        <v>315</v>
      </c>
      <c r="Z423" s="4">
        <v>269</v>
      </c>
      <c r="AA423" s="4">
        <v>278</v>
      </c>
      <c r="AB423" s="4">
        <v>4</v>
      </c>
      <c r="AC423" s="4">
        <v>4</v>
      </c>
      <c r="AD423" s="4">
        <v>13</v>
      </c>
      <c r="AE423" s="4">
        <v>13</v>
      </c>
      <c r="AF423" s="4">
        <v>4</v>
      </c>
      <c r="AG423" s="4">
        <v>4</v>
      </c>
      <c r="AH423" s="4">
        <v>2</v>
      </c>
      <c r="AI423" s="4">
        <v>2</v>
      </c>
      <c r="AJ423" s="4">
        <v>6</v>
      </c>
      <c r="AK423" s="4">
        <v>6</v>
      </c>
      <c r="AL423" s="4">
        <v>2</v>
      </c>
      <c r="AM423" s="4">
        <v>2</v>
      </c>
      <c r="AN423" s="4">
        <v>0</v>
      </c>
      <c r="AO423" s="4">
        <v>0</v>
      </c>
      <c r="AP423" s="3" t="s">
        <v>58</v>
      </c>
      <c r="AQ423" s="3" t="s">
        <v>58</v>
      </c>
      <c r="AS423" s="6" t="str">
        <f>HYPERLINK("https://creighton-primo.hosted.exlibrisgroup.com/primo-explore/search?tab=default_tab&amp;search_scope=EVERYTHING&amp;vid=01CRU&amp;lang=en_US&amp;offset=0&amp;query=any,contains,991004741469702656","Catalog Record")</f>
        <v>Catalog Record</v>
      </c>
      <c r="AT423" s="6" t="str">
        <f>HYPERLINK("http://www.worldcat.org/oclc/4883794","WorldCat Record")</f>
        <v>WorldCat Record</v>
      </c>
      <c r="AU423" s="3" t="s">
        <v>5427</v>
      </c>
      <c r="AV423" s="3" t="s">
        <v>5428</v>
      </c>
      <c r="AW423" s="3" t="s">
        <v>5429</v>
      </c>
      <c r="AX423" s="3" t="s">
        <v>5429</v>
      </c>
      <c r="AY423" s="3" t="s">
        <v>5430</v>
      </c>
      <c r="AZ423" s="3" t="s">
        <v>75</v>
      </c>
      <c r="BB423" s="3" t="s">
        <v>5431</v>
      </c>
      <c r="BC423" s="3" t="s">
        <v>5432</v>
      </c>
      <c r="BD423" s="3" t="s">
        <v>5433</v>
      </c>
    </row>
    <row r="424" spans="1:56" ht="39" customHeight="1" x14ac:dyDescent="0.25">
      <c r="A424" s="7" t="s">
        <v>58</v>
      </c>
      <c r="B424" s="2" t="s">
        <v>5434</v>
      </c>
      <c r="C424" s="2" t="s">
        <v>5435</v>
      </c>
      <c r="D424" s="2" t="s">
        <v>5436</v>
      </c>
      <c r="F424" s="3" t="s">
        <v>58</v>
      </c>
      <c r="G424" s="3" t="s">
        <v>59</v>
      </c>
      <c r="H424" s="3" t="s">
        <v>58</v>
      </c>
      <c r="I424" s="3" t="s">
        <v>58</v>
      </c>
      <c r="J424" s="3" t="s">
        <v>60</v>
      </c>
      <c r="L424" s="2" t="s">
        <v>5437</v>
      </c>
      <c r="M424" s="3" t="s">
        <v>1289</v>
      </c>
      <c r="O424" s="3" t="s">
        <v>65</v>
      </c>
      <c r="P424" s="3" t="s">
        <v>186</v>
      </c>
      <c r="Q424" s="2" t="s">
        <v>5438</v>
      </c>
      <c r="R424" s="3" t="s">
        <v>68</v>
      </c>
      <c r="S424" s="4">
        <v>4</v>
      </c>
      <c r="T424" s="4">
        <v>4</v>
      </c>
      <c r="U424" s="5" t="s">
        <v>5439</v>
      </c>
      <c r="V424" s="5" t="s">
        <v>5439</v>
      </c>
      <c r="W424" s="5" t="s">
        <v>5440</v>
      </c>
      <c r="X424" s="5" t="s">
        <v>5440</v>
      </c>
      <c r="Y424" s="4">
        <v>63</v>
      </c>
      <c r="Z424" s="4">
        <v>57</v>
      </c>
      <c r="AA424" s="4">
        <v>57</v>
      </c>
      <c r="AB424" s="4">
        <v>1</v>
      </c>
      <c r="AC424" s="4">
        <v>1</v>
      </c>
      <c r="AD424" s="4">
        <v>6</v>
      </c>
      <c r="AE424" s="4">
        <v>6</v>
      </c>
      <c r="AF424" s="4">
        <v>3</v>
      </c>
      <c r="AG424" s="4">
        <v>3</v>
      </c>
      <c r="AH424" s="4">
        <v>1</v>
      </c>
      <c r="AI424" s="4">
        <v>1</v>
      </c>
      <c r="AJ424" s="4">
        <v>3</v>
      </c>
      <c r="AK424" s="4">
        <v>3</v>
      </c>
      <c r="AL424" s="4">
        <v>0</v>
      </c>
      <c r="AM424" s="4">
        <v>0</v>
      </c>
      <c r="AN424" s="4">
        <v>0</v>
      </c>
      <c r="AO424" s="4">
        <v>0</v>
      </c>
      <c r="AP424" s="3" t="s">
        <v>58</v>
      </c>
      <c r="AQ424" s="3" t="s">
        <v>58</v>
      </c>
      <c r="AS424" s="6" t="str">
        <f>HYPERLINK("https://creighton-primo.hosted.exlibrisgroup.com/primo-explore/search?tab=default_tab&amp;search_scope=EVERYTHING&amp;vid=01CRU&amp;lang=en_US&amp;offset=0&amp;query=any,contains,991004166819702656","Catalog Record")</f>
        <v>Catalog Record</v>
      </c>
      <c r="AT424" s="6" t="str">
        <f>HYPERLINK("http://www.worldcat.org/oclc/49285495","WorldCat Record")</f>
        <v>WorldCat Record</v>
      </c>
      <c r="AU424" s="3" t="s">
        <v>5441</v>
      </c>
      <c r="AV424" s="3" t="s">
        <v>5442</v>
      </c>
      <c r="AW424" s="3" t="s">
        <v>5443</v>
      </c>
      <c r="AX424" s="3" t="s">
        <v>5443</v>
      </c>
      <c r="AY424" s="3" t="s">
        <v>5444</v>
      </c>
      <c r="AZ424" s="3" t="s">
        <v>75</v>
      </c>
      <c r="BB424" s="3" t="s">
        <v>5445</v>
      </c>
      <c r="BC424" s="3" t="s">
        <v>5446</v>
      </c>
      <c r="BD424" s="3" t="s">
        <v>5447</v>
      </c>
    </row>
    <row r="425" spans="1:56" ht="39" customHeight="1" x14ac:dyDescent="0.25">
      <c r="A425" s="7" t="s">
        <v>58</v>
      </c>
      <c r="B425" s="2" t="s">
        <v>5448</v>
      </c>
      <c r="C425" s="2" t="s">
        <v>5449</v>
      </c>
      <c r="D425" s="2" t="s">
        <v>5450</v>
      </c>
      <c r="F425" s="3" t="s">
        <v>58</v>
      </c>
      <c r="G425" s="3" t="s">
        <v>59</v>
      </c>
      <c r="H425" s="3" t="s">
        <v>58</v>
      </c>
      <c r="I425" s="3" t="s">
        <v>58</v>
      </c>
      <c r="J425" s="3" t="s">
        <v>60</v>
      </c>
      <c r="K425" s="2" t="s">
        <v>5451</v>
      </c>
      <c r="L425" s="2" t="s">
        <v>5452</v>
      </c>
      <c r="M425" s="3" t="s">
        <v>670</v>
      </c>
      <c r="O425" s="3" t="s">
        <v>65</v>
      </c>
      <c r="P425" s="3" t="s">
        <v>1345</v>
      </c>
      <c r="R425" s="3" t="s">
        <v>68</v>
      </c>
      <c r="S425" s="4">
        <v>1</v>
      </c>
      <c r="T425" s="4">
        <v>1</v>
      </c>
      <c r="U425" s="5" t="s">
        <v>5453</v>
      </c>
      <c r="V425" s="5" t="s">
        <v>5453</v>
      </c>
      <c r="W425" s="5" t="s">
        <v>5453</v>
      </c>
      <c r="X425" s="5" t="s">
        <v>5453</v>
      </c>
      <c r="Y425" s="4">
        <v>216</v>
      </c>
      <c r="Z425" s="4">
        <v>183</v>
      </c>
      <c r="AA425" s="4">
        <v>183</v>
      </c>
      <c r="AB425" s="4">
        <v>3</v>
      </c>
      <c r="AC425" s="4">
        <v>3</v>
      </c>
      <c r="AD425" s="4">
        <v>12</v>
      </c>
      <c r="AE425" s="4">
        <v>12</v>
      </c>
      <c r="AF425" s="4">
        <v>5</v>
      </c>
      <c r="AG425" s="4">
        <v>5</v>
      </c>
      <c r="AH425" s="4">
        <v>4</v>
      </c>
      <c r="AI425" s="4">
        <v>4</v>
      </c>
      <c r="AJ425" s="4">
        <v>7</v>
      </c>
      <c r="AK425" s="4">
        <v>7</v>
      </c>
      <c r="AL425" s="4">
        <v>1</v>
      </c>
      <c r="AM425" s="4">
        <v>1</v>
      </c>
      <c r="AN425" s="4">
        <v>0</v>
      </c>
      <c r="AO425" s="4">
        <v>0</v>
      </c>
      <c r="AP425" s="3" t="s">
        <v>58</v>
      </c>
      <c r="AQ425" s="3" t="s">
        <v>58</v>
      </c>
      <c r="AS425" s="6" t="str">
        <f>HYPERLINK("https://creighton-primo.hosted.exlibrisgroup.com/primo-explore/search?tab=default_tab&amp;search_scope=EVERYTHING&amp;vid=01CRU&amp;lang=en_US&amp;offset=0&amp;query=any,contains,991000105049702656","Catalog Record")</f>
        <v>Catalog Record</v>
      </c>
      <c r="AT425" s="6" t="str">
        <f>HYPERLINK("http://www.worldcat.org/oclc/46028","WorldCat Record")</f>
        <v>WorldCat Record</v>
      </c>
      <c r="AU425" s="3" t="s">
        <v>5454</v>
      </c>
      <c r="AV425" s="3" t="s">
        <v>5455</v>
      </c>
      <c r="AW425" s="3" t="s">
        <v>5456</v>
      </c>
      <c r="AX425" s="3" t="s">
        <v>5456</v>
      </c>
      <c r="AY425" s="3" t="s">
        <v>5457</v>
      </c>
      <c r="AZ425" s="3" t="s">
        <v>75</v>
      </c>
      <c r="BC425" s="3" t="s">
        <v>5458</v>
      </c>
      <c r="BD425" s="3" t="s">
        <v>5459</v>
      </c>
    </row>
    <row r="426" spans="1:56" ht="39" customHeight="1" x14ac:dyDescent="0.25">
      <c r="A426" s="7" t="s">
        <v>58</v>
      </c>
      <c r="B426" s="2" t="s">
        <v>5460</v>
      </c>
      <c r="C426" s="2" t="s">
        <v>5461</v>
      </c>
      <c r="D426" s="2" t="s">
        <v>5462</v>
      </c>
      <c r="F426" s="3" t="s">
        <v>58</v>
      </c>
      <c r="G426" s="3" t="s">
        <v>59</v>
      </c>
      <c r="H426" s="3" t="s">
        <v>58</v>
      </c>
      <c r="I426" s="3" t="s">
        <v>58</v>
      </c>
      <c r="J426" s="3" t="s">
        <v>60</v>
      </c>
      <c r="K426" s="2" t="s">
        <v>5463</v>
      </c>
      <c r="L426" s="2" t="s">
        <v>5464</v>
      </c>
      <c r="M426" s="3" t="s">
        <v>544</v>
      </c>
      <c r="O426" s="3" t="s">
        <v>65</v>
      </c>
      <c r="P426" s="3" t="s">
        <v>5465</v>
      </c>
      <c r="Q426" s="2" t="s">
        <v>5466</v>
      </c>
      <c r="R426" s="3" t="s">
        <v>68</v>
      </c>
      <c r="S426" s="4">
        <v>3</v>
      </c>
      <c r="T426" s="4">
        <v>3</v>
      </c>
      <c r="U426" s="5" t="s">
        <v>5467</v>
      </c>
      <c r="V426" s="5" t="s">
        <v>5467</v>
      </c>
      <c r="W426" s="5" t="s">
        <v>5467</v>
      </c>
      <c r="X426" s="5" t="s">
        <v>5467</v>
      </c>
      <c r="Y426" s="4">
        <v>148</v>
      </c>
      <c r="Z426" s="4">
        <v>107</v>
      </c>
      <c r="AA426" s="4">
        <v>107</v>
      </c>
      <c r="AB426" s="4">
        <v>1</v>
      </c>
      <c r="AC426" s="4">
        <v>1</v>
      </c>
      <c r="AD426" s="4">
        <v>9</v>
      </c>
      <c r="AE426" s="4">
        <v>9</v>
      </c>
      <c r="AF426" s="4">
        <v>5</v>
      </c>
      <c r="AG426" s="4">
        <v>5</v>
      </c>
      <c r="AH426" s="4">
        <v>2</v>
      </c>
      <c r="AI426" s="4">
        <v>2</v>
      </c>
      <c r="AJ426" s="4">
        <v>4</v>
      </c>
      <c r="AK426" s="4">
        <v>4</v>
      </c>
      <c r="AL426" s="4">
        <v>0</v>
      </c>
      <c r="AM426" s="4">
        <v>0</v>
      </c>
      <c r="AN426" s="4">
        <v>0</v>
      </c>
      <c r="AO426" s="4">
        <v>0</v>
      </c>
      <c r="AP426" s="3" t="s">
        <v>58</v>
      </c>
      <c r="AQ426" s="3" t="s">
        <v>58</v>
      </c>
      <c r="AS426" s="6" t="str">
        <f>HYPERLINK("https://creighton-primo.hosted.exlibrisgroup.com/primo-explore/search?tab=default_tab&amp;search_scope=EVERYTHING&amp;vid=01CRU&amp;lang=en_US&amp;offset=0&amp;query=any,contains,991003917619702656","Catalog Record")</f>
        <v>Catalog Record</v>
      </c>
      <c r="AT426" s="6" t="str">
        <f>HYPERLINK("http://www.worldcat.org/oclc/41328227","WorldCat Record")</f>
        <v>WorldCat Record</v>
      </c>
      <c r="AU426" s="3" t="s">
        <v>5468</v>
      </c>
      <c r="AV426" s="3" t="s">
        <v>5469</v>
      </c>
      <c r="AW426" s="3" t="s">
        <v>5470</v>
      </c>
      <c r="AX426" s="3" t="s">
        <v>5470</v>
      </c>
      <c r="AY426" s="3" t="s">
        <v>5471</v>
      </c>
      <c r="AZ426" s="3" t="s">
        <v>75</v>
      </c>
      <c r="BB426" s="3" t="s">
        <v>5472</v>
      </c>
      <c r="BC426" s="3" t="s">
        <v>5473</v>
      </c>
      <c r="BD426" s="3" t="s">
        <v>5474</v>
      </c>
    </row>
    <row r="427" spans="1:56" ht="39" customHeight="1" x14ac:dyDescent="0.25">
      <c r="A427" s="7" t="s">
        <v>58</v>
      </c>
      <c r="B427" s="2" t="s">
        <v>5475</v>
      </c>
      <c r="C427" s="2" t="s">
        <v>5476</v>
      </c>
      <c r="D427" s="2" t="s">
        <v>5477</v>
      </c>
      <c r="F427" s="3" t="s">
        <v>58</v>
      </c>
      <c r="G427" s="3" t="s">
        <v>59</v>
      </c>
      <c r="H427" s="3" t="s">
        <v>58</v>
      </c>
      <c r="I427" s="3" t="s">
        <v>58</v>
      </c>
      <c r="J427" s="3" t="s">
        <v>60</v>
      </c>
      <c r="K427" s="2" t="s">
        <v>5478</v>
      </c>
      <c r="L427" s="2" t="s">
        <v>5479</v>
      </c>
      <c r="M427" s="3" t="s">
        <v>1371</v>
      </c>
      <c r="O427" s="3" t="s">
        <v>65</v>
      </c>
      <c r="P427" s="3" t="s">
        <v>571</v>
      </c>
      <c r="R427" s="3" t="s">
        <v>68</v>
      </c>
      <c r="S427" s="4">
        <v>3</v>
      </c>
      <c r="T427" s="4">
        <v>3</v>
      </c>
      <c r="U427" s="5" t="s">
        <v>5480</v>
      </c>
      <c r="V427" s="5" t="s">
        <v>5480</v>
      </c>
      <c r="W427" s="5" t="s">
        <v>3869</v>
      </c>
      <c r="X427" s="5" t="s">
        <v>3869</v>
      </c>
      <c r="Y427" s="4">
        <v>293</v>
      </c>
      <c r="Z427" s="4">
        <v>266</v>
      </c>
      <c r="AA427" s="4">
        <v>272</v>
      </c>
      <c r="AB427" s="4">
        <v>6</v>
      </c>
      <c r="AC427" s="4">
        <v>6</v>
      </c>
      <c r="AD427" s="4">
        <v>11</v>
      </c>
      <c r="AE427" s="4">
        <v>11</v>
      </c>
      <c r="AF427" s="4">
        <v>5</v>
      </c>
      <c r="AG427" s="4">
        <v>5</v>
      </c>
      <c r="AH427" s="4">
        <v>1</v>
      </c>
      <c r="AI427" s="4">
        <v>1</v>
      </c>
      <c r="AJ427" s="4">
        <v>4</v>
      </c>
      <c r="AK427" s="4">
        <v>4</v>
      </c>
      <c r="AL427" s="4">
        <v>3</v>
      </c>
      <c r="AM427" s="4">
        <v>3</v>
      </c>
      <c r="AN427" s="4">
        <v>0</v>
      </c>
      <c r="AO427" s="4">
        <v>0</v>
      </c>
      <c r="AP427" s="3" t="s">
        <v>58</v>
      </c>
      <c r="AQ427" s="3" t="s">
        <v>58</v>
      </c>
      <c r="AS427" s="6" t="str">
        <f>HYPERLINK("https://creighton-primo.hosted.exlibrisgroup.com/primo-explore/search?tab=default_tab&amp;search_scope=EVERYTHING&amp;vid=01CRU&amp;lang=en_US&amp;offset=0&amp;query=any,contains,991002979969702656","Catalog Record")</f>
        <v>Catalog Record</v>
      </c>
      <c r="AT427" s="6" t="str">
        <f>HYPERLINK("http://www.worldcat.org/oclc/554379","WorldCat Record")</f>
        <v>WorldCat Record</v>
      </c>
      <c r="AU427" s="3" t="s">
        <v>5481</v>
      </c>
      <c r="AV427" s="3" t="s">
        <v>5482</v>
      </c>
      <c r="AW427" s="3" t="s">
        <v>5483</v>
      </c>
      <c r="AX427" s="3" t="s">
        <v>5483</v>
      </c>
      <c r="AY427" s="3" t="s">
        <v>5484</v>
      </c>
      <c r="AZ427" s="3" t="s">
        <v>75</v>
      </c>
      <c r="BC427" s="3" t="s">
        <v>5485</v>
      </c>
      <c r="BD427" s="3" t="s">
        <v>5486</v>
      </c>
    </row>
    <row r="428" spans="1:56" ht="39" customHeight="1" x14ac:dyDescent="0.25">
      <c r="A428" s="7" t="s">
        <v>58</v>
      </c>
      <c r="B428" s="2" t="s">
        <v>5487</v>
      </c>
      <c r="C428" s="2" t="s">
        <v>5488</v>
      </c>
      <c r="D428" s="2" t="s">
        <v>5489</v>
      </c>
      <c r="F428" s="3" t="s">
        <v>58</v>
      </c>
      <c r="G428" s="3" t="s">
        <v>59</v>
      </c>
      <c r="H428" s="3" t="s">
        <v>58</v>
      </c>
      <c r="I428" s="3" t="s">
        <v>58</v>
      </c>
      <c r="J428" s="3" t="s">
        <v>60</v>
      </c>
      <c r="K428" s="2" t="s">
        <v>5490</v>
      </c>
      <c r="L428" s="2" t="s">
        <v>5491</v>
      </c>
      <c r="M428" s="3" t="s">
        <v>128</v>
      </c>
      <c r="O428" s="3" t="s">
        <v>65</v>
      </c>
      <c r="P428" s="3" t="s">
        <v>186</v>
      </c>
      <c r="Q428" s="2" t="s">
        <v>3606</v>
      </c>
      <c r="R428" s="3" t="s">
        <v>68</v>
      </c>
      <c r="S428" s="4">
        <v>4</v>
      </c>
      <c r="T428" s="4">
        <v>4</v>
      </c>
      <c r="U428" s="5" t="s">
        <v>5492</v>
      </c>
      <c r="V428" s="5" t="s">
        <v>5492</v>
      </c>
      <c r="W428" s="5" t="s">
        <v>5493</v>
      </c>
      <c r="X428" s="5" t="s">
        <v>5493</v>
      </c>
      <c r="Y428" s="4">
        <v>172</v>
      </c>
      <c r="Z428" s="4">
        <v>145</v>
      </c>
      <c r="AA428" s="4">
        <v>145</v>
      </c>
      <c r="AB428" s="4">
        <v>1</v>
      </c>
      <c r="AC428" s="4">
        <v>1</v>
      </c>
      <c r="AD428" s="4">
        <v>14</v>
      </c>
      <c r="AE428" s="4">
        <v>14</v>
      </c>
      <c r="AF428" s="4">
        <v>5</v>
      </c>
      <c r="AG428" s="4">
        <v>5</v>
      </c>
      <c r="AH428" s="4">
        <v>2</v>
      </c>
      <c r="AI428" s="4">
        <v>2</v>
      </c>
      <c r="AJ428" s="4">
        <v>12</v>
      </c>
      <c r="AK428" s="4">
        <v>12</v>
      </c>
      <c r="AL428" s="4">
        <v>0</v>
      </c>
      <c r="AM428" s="4">
        <v>0</v>
      </c>
      <c r="AN428" s="4">
        <v>0</v>
      </c>
      <c r="AO428" s="4">
        <v>0</v>
      </c>
      <c r="AP428" s="3" t="s">
        <v>58</v>
      </c>
      <c r="AQ428" s="3" t="s">
        <v>58</v>
      </c>
      <c r="AS428" s="6" t="str">
        <f>HYPERLINK("https://creighton-primo.hosted.exlibrisgroup.com/primo-explore/search?tab=default_tab&amp;search_scope=EVERYTHING&amp;vid=01CRU&amp;lang=en_US&amp;offset=0&amp;query=any,contains,991004307529702656","Catalog Record")</f>
        <v>Catalog Record</v>
      </c>
      <c r="AT428" s="6" t="str">
        <f>HYPERLINK("http://www.worldcat.org/oclc/2984453","WorldCat Record")</f>
        <v>WorldCat Record</v>
      </c>
      <c r="AU428" s="3" t="s">
        <v>5494</v>
      </c>
      <c r="AV428" s="3" t="s">
        <v>5495</v>
      </c>
      <c r="AW428" s="3" t="s">
        <v>5496</v>
      </c>
      <c r="AX428" s="3" t="s">
        <v>5496</v>
      </c>
      <c r="AY428" s="3" t="s">
        <v>5497</v>
      </c>
      <c r="AZ428" s="3" t="s">
        <v>75</v>
      </c>
      <c r="BB428" s="3" t="s">
        <v>5498</v>
      </c>
      <c r="BC428" s="3" t="s">
        <v>5499</v>
      </c>
      <c r="BD428" s="3" t="s">
        <v>5500</v>
      </c>
    </row>
    <row r="429" spans="1:56" ht="39" customHeight="1" x14ac:dyDescent="0.25">
      <c r="A429" s="7" t="s">
        <v>58</v>
      </c>
      <c r="B429" s="2" t="s">
        <v>5501</v>
      </c>
      <c r="C429" s="2" t="s">
        <v>5502</v>
      </c>
      <c r="D429" s="2" t="s">
        <v>5503</v>
      </c>
      <c r="F429" s="3" t="s">
        <v>58</v>
      </c>
      <c r="G429" s="3" t="s">
        <v>59</v>
      </c>
      <c r="H429" s="3" t="s">
        <v>58</v>
      </c>
      <c r="I429" s="3" t="s">
        <v>58</v>
      </c>
      <c r="J429" s="3" t="s">
        <v>60</v>
      </c>
      <c r="L429" s="2" t="s">
        <v>5504</v>
      </c>
      <c r="M429" s="3" t="s">
        <v>966</v>
      </c>
      <c r="O429" s="3" t="s">
        <v>65</v>
      </c>
      <c r="P429" s="3" t="s">
        <v>158</v>
      </c>
      <c r="Q429" s="2" t="s">
        <v>5505</v>
      </c>
      <c r="R429" s="3" t="s">
        <v>68</v>
      </c>
      <c r="S429" s="4">
        <v>2</v>
      </c>
      <c r="T429" s="4">
        <v>2</v>
      </c>
      <c r="U429" s="5" t="s">
        <v>5506</v>
      </c>
      <c r="V429" s="5" t="s">
        <v>5506</v>
      </c>
      <c r="W429" s="5" t="s">
        <v>5507</v>
      </c>
      <c r="X429" s="5" t="s">
        <v>5507</v>
      </c>
      <c r="Y429" s="4">
        <v>183</v>
      </c>
      <c r="Z429" s="4">
        <v>161</v>
      </c>
      <c r="AA429" s="4">
        <v>161</v>
      </c>
      <c r="AB429" s="4">
        <v>3</v>
      </c>
      <c r="AC429" s="4">
        <v>3</v>
      </c>
      <c r="AD429" s="4">
        <v>6</v>
      </c>
      <c r="AE429" s="4">
        <v>6</v>
      </c>
      <c r="AF429" s="4">
        <v>3</v>
      </c>
      <c r="AG429" s="4">
        <v>3</v>
      </c>
      <c r="AH429" s="4">
        <v>0</v>
      </c>
      <c r="AI429" s="4">
        <v>0</v>
      </c>
      <c r="AJ429" s="4">
        <v>2</v>
      </c>
      <c r="AK429" s="4">
        <v>2</v>
      </c>
      <c r="AL429" s="4">
        <v>1</v>
      </c>
      <c r="AM429" s="4">
        <v>1</v>
      </c>
      <c r="AN429" s="4">
        <v>0</v>
      </c>
      <c r="AO429" s="4">
        <v>0</v>
      </c>
      <c r="AP429" s="3" t="s">
        <v>58</v>
      </c>
      <c r="AQ429" s="3" t="s">
        <v>58</v>
      </c>
      <c r="AS429" s="6" t="str">
        <f>HYPERLINK("https://creighton-primo.hosted.exlibrisgroup.com/primo-explore/search?tab=default_tab&amp;search_scope=EVERYTHING&amp;vid=01CRU&amp;lang=en_US&amp;offset=0&amp;query=any,contains,991005129389702656","Catalog Record")</f>
        <v>Catalog Record</v>
      </c>
      <c r="AT429" s="6" t="str">
        <f>HYPERLINK("http://www.worldcat.org/oclc/25746606","WorldCat Record")</f>
        <v>WorldCat Record</v>
      </c>
      <c r="AU429" s="3" t="s">
        <v>5508</v>
      </c>
      <c r="AV429" s="3" t="s">
        <v>5509</v>
      </c>
      <c r="AW429" s="3" t="s">
        <v>5510</v>
      </c>
      <c r="AX429" s="3" t="s">
        <v>5510</v>
      </c>
      <c r="AY429" s="3" t="s">
        <v>5511</v>
      </c>
      <c r="AZ429" s="3" t="s">
        <v>75</v>
      </c>
      <c r="BB429" s="3" t="s">
        <v>5512</v>
      </c>
      <c r="BC429" s="3" t="s">
        <v>5513</v>
      </c>
      <c r="BD429" s="3" t="s">
        <v>5514</v>
      </c>
    </row>
    <row r="430" spans="1:56" ht="39" customHeight="1" x14ac:dyDescent="0.25">
      <c r="A430" s="7" t="s">
        <v>58</v>
      </c>
      <c r="B430" s="2" t="s">
        <v>5515</v>
      </c>
      <c r="C430" s="2" t="s">
        <v>5516</v>
      </c>
      <c r="D430" s="2" t="s">
        <v>5517</v>
      </c>
      <c r="F430" s="3" t="s">
        <v>58</v>
      </c>
      <c r="G430" s="3" t="s">
        <v>59</v>
      </c>
      <c r="H430" s="3" t="s">
        <v>58</v>
      </c>
      <c r="I430" s="3" t="s">
        <v>58</v>
      </c>
      <c r="J430" s="3" t="s">
        <v>60</v>
      </c>
      <c r="K430" s="2" t="s">
        <v>5518</v>
      </c>
      <c r="L430" s="2" t="s">
        <v>5519</v>
      </c>
      <c r="M430" s="3" t="s">
        <v>157</v>
      </c>
      <c r="O430" s="3" t="s">
        <v>65</v>
      </c>
      <c r="P430" s="3" t="s">
        <v>571</v>
      </c>
      <c r="R430" s="3" t="s">
        <v>68</v>
      </c>
      <c r="S430" s="4">
        <v>7</v>
      </c>
      <c r="T430" s="4">
        <v>7</v>
      </c>
      <c r="U430" s="5" t="s">
        <v>5520</v>
      </c>
      <c r="V430" s="5" t="s">
        <v>5520</v>
      </c>
      <c r="W430" s="5" t="s">
        <v>5521</v>
      </c>
      <c r="X430" s="5" t="s">
        <v>5521</v>
      </c>
      <c r="Y430" s="4">
        <v>271</v>
      </c>
      <c r="Z430" s="4">
        <v>232</v>
      </c>
      <c r="AA430" s="4">
        <v>237</v>
      </c>
      <c r="AB430" s="4">
        <v>3</v>
      </c>
      <c r="AC430" s="4">
        <v>3</v>
      </c>
      <c r="AD430" s="4">
        <v>26</v>
      </c>
      <c r="AE430" s="4">
        <v>26</v>
      </c>
      <c r="AF430" s="4">
        <v>10</v>
      </c>
      <c r="AG430" s="4">
        <v>10</v>
      </c>
      <c r="AH430" s="4">
        <v>5</v>
      </c>
      <c r="AI430" s="4">
        <v>5</v>
      </c>
      <c r="AJ430" s="4">
        <v>20</v>
      </c>
      <c r="AK430" s="4">
        <v>20</v>
      </c>
      <c r="AL430" s="4">
        <v>1</v>
      </c>
      <c r="AM430" s="4">
        <v>1</v>
      </c>
      <c r="AN430" s="4">
        <v>0</v>
      </c>
      <c r="AO430" s="4">
        <v>0</v>
      </c>
      <c r="AP430" s="3" t="s">
        <v>58</v>
      </c>
      <c r="AQ430" s="3" t="s">
        <v>58</v>
      </c>
      <c r="AS430" s="6" t="str">
        <f>HYPERLINK("https://creighton-primo.hosted.exlibrisgroup.com/primo-explore/search?tab=default_tab&amp;search_scope=EVERYTHING&amp;vid=01CRU&amp;lang=en_US&amp;offset=0&amp;query=any,contains,991000077159702656","Catalog Record")</f>
        <v>Catalog Record</v>
      </c>
      <c r="AT430" s="6" t="str">
        <f>HYPERLINK("http://www.worldcat.org/oclc/8811430","WorldCat Record")</f>
        <v>WorldCat Record</v>
      </c>
      <c r="AU430" s="3" t="s">
        <v>5522</v>
      </c>
      <c r="AV430" s="3" t="s">
        <v>5523</v>
      </c>
      <c r="AW430" s="3" t="s">
        <v>5524</v>
      </c>
      <c r="AX430" s="3" t="s">
        <v>5524</v>
      </c>
      <c r="AY430" s="3" t="s">
        <v>5525</v>
      </c>
      <c r="AZ430" s="3" t="s">
        <v>75</v>
      </c>
      <c r="BB430" s="3" t="s">
        <v>5526</v>
      </c>
      <c r="BC430" s="3" t="s">
        <v>5527</v>
      </c>
      <c r="BD430" s="3" t="s">
        <v>5528</v>
      </c>
    </row>
    <row r="431" spans="1:56" ht="39" customHeight="1" x14ac:dyDescent="0.25">
      <c r="A431" s="7" t="s">
        <v>58</v>
      </c>
      <c r="B431" s="2" t="s">
        <v>5529</v>
      </c>
      <c r="C431" s="2" t="s">
        <v>5530</v>
      </c>
      <c r="D431" s="2" t="s">
        <v>5531</v>
      </c>
      <c r="F431" s="3" t="s">
        <v>58</v>
      </c>
      <c r="G431" s="3" t="s">
        <v>59</v>
      </c>
      <c r="H431" s="3" t="s">
        <v>58</v>
      </c>
      <c r="I431" s="3" t="s">
        <v>58</v>
      </c>
      <c r="J431" s="3" t="s">
        <v>60</v>
      </c>
      <c r="K431" s="2" t="s">
        <v>5532</v>
      </c>
      <c r="L431" s="2" t="s">
        <v>5533</v>
      </c>
      <c r="M431" s="3" t="s">
        <v>845</v>
      </c>
      <c r="O431" s="3" t="s">
        <v>65</v>
      </c>
      <c r="P431" s="3" t="s">
        <v>571</v>
      </c>
      <c r="R431" s="3" t="s">
        <v>68</v>
      </c>
      <c r="S431" s="4">
        <v>2</v>
      </c>
      <c r="T431" s="4">
        <v>2</v>
      </c>
      <c r="U431" s="5" t="s">
        <v>5534</v>
      </c>
      <c r="V431" s="5" t="s">
        <v>5534</v>
      </c>
      <c r="W431" s="5" t="s">
        <v>3869</v>
      </c>
      <c r="X431" s="5" t="s">
        <v>3869</v>
      </c>
      <c r="Y431" s="4">
        <v>256</v>
      </c>
      <c r="Z431" s="4">
        <v>229</v>
      </c>
      <c r="AA431" s="4">
        <v>235</v>
      </c>
      <c r="AB431" s="4">
        <v>5</v>
      </c>
      <c r="AC431" s="4">
        <v>5</v>
      </c>
      <c r="AD431" s="4">
        <v>18</v>
      </c>
      <c r="AE431" s="4">
        <v>18</v>
      </c>
      <c r="AF431" s="4">
        <v>3</v>
      </c>
      <c r="AG431" s="4">
        <v>3</v>
      </c>
      <c r="AH431" s="4">
        <v>5</v>
      </c>
      <c r="AI431" s="4">
        <v>5</v>
      </c>
      <c r="AJ431" s="4">
        <v>12</v>
      </c>
      <c r="AK431" s="4">
        <v>12</v>
      </c>
      <c r="AL431" s="4">
        <v>3</v>
      </c>
      <c r="AM431" s="4">
        <v>3</v>
      </c>
      <c r="AN431" s="4">
        <v>0</v>
      </c>
      <c r="AO431" s="4">
        <v>0</v>
      </c>
      <c r="AP431" s="3" t="s">
        <v>58</v>
      </c>
      <c r="AQ431" s="3" t="s">
        <v>58</v>
      </c>
      <c r="AS431" s="6" t="str">
        <f>HYPERLINK("https://creighton-primo.hosted.exlibrisgroup.com/primo-explore/search?tab=default_tab&amp;search_scope=EVERYTHING&amp;vid=01CRU&amp;lang=en_US&amp;offset=0&amp;query=any,contains,991000017959702656","Catalog Record")</f>
        <v>Catalog Record</v>
      </c>
      <c r="AT431" s="6" t="str">
        <f>HYPERLINK("http://www.worldcat.org/oclc/16846","WorldCat Record")</f>
        <v>WorldCat Record</v>
      </c>
      <c r="AU431" s="3" t="s">
        <v>5535</v>
      </c>
      <c r="AV431" s="3" t="s">
        <v>5536</v>
      </c>
      <c r="AW431" s="3" t="s">
        <v>5537</v>
      </c>
      <c r="AX431" s="3" t="s">
        <v>5537</v>
      </c>
      <c r="AY431" s="3" t="s">
        <v>5538</v>
      </c>
      <c r="AZ431" s="3" t="s">
        <v>75</v>
      </c>
      <c r="BB431" s="3" t="s">
        <v>5539</v>
      </c>
      <c r="BC431" s="3" t="s">
        <v>5540</v>
      </c>
      <c r="BD431" s="3" t="s">
        <v>5541</v>
      </c>
    </row>
    <row r="432" spans="1:56" ht="39" customHeight="1" x14ac:dyDescent="0.25">
      <c r="A432" s="7" t="s">
        <v>58</v>
      </c>
      <c r="B432" s="2" t="s">
        <v>5542</v>
      </c>
      <c r="C432" s="2" t="s">
        <v>5543</v>
      </c>
      <c r="D432" s="2" t="s">
        <v>5544</v>
      </c>
      <c r="F432" s="3" t="s">
        <v>58</v>
      </c>
      <c r="G432" s="3" t="s">
        <v>59</v>
      </c>
      <c r="H432" s="3" t="s">
        <v>58</v>
      </c>
      <c r="I432" s="3" t="s">
        <v>58</v>
      </c>
      <c r="J432" s="3" t="s">
        <v>60</v>
      </c>
      <c r="K432" s="2" t="s">
        <v>5532</v>
      </c>
      <c r="L432" s="2" t="s">
        <v>5545</v>
      </c>
      <c r="M432" s="3" t="s">
        <v>273</v>
      </c>
      <c r="O432" s="3" t="s">
        <v>65</v>
      </c>
      <c r="P432" s="3" t="s">
        <v>1345</v>
      </c>
      <c r="R432" s="3" t="s">
        <v>68</v>
      </c>
      <c r="S432" s="4">
        <v>5</v>
      </c>
      <c r="T432" s="4">
        <v>5</v>
      </c>
      <c r="U432" s="5" t="s">
        <v>5546</v>
      </c>
      <c r="V432" s="5" t="s">
        <v>5546</v>
      </c>
      <c r="W432" s="5" t="s">
        <v>5547</v>
      </c>
      <c r="X432" s="5" t="s">
        <v>5547</v>
      </c>
      <c r="Y432" s="4">
        <v>113</v>
      </c>
      <c r="Z432" s="4">
        <v>93</v>
      </c>
      <c r="AA432" s="4">
        <v>98</v>
      </c>
      <c r="AB432" s="4">
        <v>1</v>
      </c>
      <c r="AC432" s="4">
        <v>1</v>
      </c>
      <c r="AD432" s="4">
        <v>14</v>
      </c>
      <c r="AE432" s="4">
        <v>14</v>
      </c>
      <c r="AF432" s="4">
        <v>4</v>
      </c>
      <c r="AG432" s="4">
        <v>4</v>
      </c>
      <c r="AH432" s="4">
        <v>2</v>
      </c>
      <c r="AI432" s="4">
        <v>2</v>
      </c>
      <c r="AJ432" s="4">
        <v>11</v>
      </c>
      <c r="AK432" s="4">
        <v>11</v>
      </c>
      <c r="AL432" s="4">
        <v>0</v>
      </c>
      <c r="AM432" s="4">
        <v>0</v>
      </c>
      <c r="AN432" s="4">
        <v>0</v>
      </c>
      <c r="AO432" s="4">
        <v>0</v>
      </c>
      <c r="AP432" s="3" t="s">
        <v>58</v>
      </c>
      <c r="AQ432" s="3" t="s">
        <v>58</v>
      </c>
      <c r="AS432" s="6" t="str">
        <f>HYPERLINK("https://creighton-primo.hosted.exlibrisgroup.com/primo-explore/search?tab=default_tab&amp;search_scope=EVERYTHING&amp;vid=01CRU&amp;lang=en_US&amp;offset=0&amp;query=any,contains,991002237099702656","Catalog Record")</f>
        <v>Catalog Record</v>
      </c>
      <c r="AT432" s="6" t="str">
        <f>HYPERLINK("http://www.worldcat.org/oclc/28848617","WorldCat Record")</f>
        <v>WorldCat Record</v>
      </c>
      <c r="AU432" s="3" t="s">
        <v>5548</v>
      </c>
      <c r="AV432" s="3" t="s">
        <v>5549</v>
      </c>
      <c r="AW432" s="3" t="s">
        <v>5550</v>
      </c>
      <c r="AX432" s="3" t="s">
        <v>5550</v>
      </c>
      <c r="AY432" s="3" t="s">
        <v>5551</v>
      </c>
      <c r="AZ432" s="3" t="s">
        <v>75</v>
      </c>
      <c r="BB432" s="3" t="s">
        <v>5552</v>
      </c>
      <c r="BC432" s="3" t="s">
        <v>5553</v>
      </c>
      <c r="BD432" s="3" t="s">
        <v>5554</v>
      </c>
    </row>
    <row r="433" spans="1:56" ht="39" customHeight="1" x14ac:dyDescent="0.25">
      <c r="A433" s="7" t="s">
        <v>58</v>
      </c>
      <c r="B433" s="2" t="s">
        <v>5555</v>
      </c>
      <c r="C433" s="2" t="s">
        <v>5556</v>
      </c>
      <c r="D433" s="2" t="s">
        <v>5557</v>
      </c>
      <c r="F433" s="3" t="s">
        <v>58</v>
      </c>
      <c r="G433" s="3" t="s">
        <v>59</v>
      </c>
      <c r="H433" s="3" t="s">
        <v>58</v>
      </c>
      <c r="I433" s="3" t="s">
        <v>58</v>
      </c>
      <c r="J433" s="3" t="s">
        <v>60</v>
      </c>
      <c r="K433" s="2" t="s">
        <v>5558</v>
      </c>
      <c r="L433" s="2" t="s">
        <v>5559</v>
      </c>
      <c r="M433" s="3" t="s">
        <v>845</v>
      </c>
      <c r="O433" s="3" t="s">
        <v>65</v>
      </c>
      <c r="P433" s="3" t="s">
        <v>186</v>
      </c>
      <c r="R433" s="3" t="s">
        <v>68</v>
      </c>
      <c r="S433" s="4">
        <v>2</v>
      </c>
      <c r="T433" s="4">
        <v>2</v>
      </c>
      <c r="U433" s="5" t="s">
        <v>5560</v>
      </c>
      <c r="V433" s="5" t="s">
        <v>5560</v>
      </c>
      <c r="W433" s="5" t="s">
        <v>2983</v>
      </c>
      <c r="X433" s="5" t="s">
        <v>2983</v>
      </c>
      <c r="Y433" s="4">
        <v>175</v>
      </c>
      <c r="Z433" s="4">
        <v>165</v>
      </c>
      <c r="AA433" s="4">
        <v>170</v>
      </c>
      <c r="AB433" s="4">
        <v>3</v>
      </c>
      <c r="AC433" s="4">
        <v>3</v>
      </c>
      <c r="AD433" s="4">
        <v>9</v>
      </c>
      <c r="AE433" s="4">
        <v>9</v>
      </c>
      <c r="AF433" s="4">
        <v>3</v>
      </c>
      <c r="AG433" s="4">
        <v>3</v>
      </c>
      <c r="AH433" s="4">
        <v>2</v>
      </c>
      <c r="AI433" s="4">
        <v>2</v>
      </c>
      <c r="AJ433" s="4">
        <v>6</v>
      </c>
      <c r="AK433" s="4">
        <v>6</v>
      </c>
      <c r="AL433" s="4">
        <v>0</v>
      </c>
      <c r="AM433" s="4">
        <v>0</v>
      </c>
      <c r="AN433" s="4">
        <v>0</v>
      </c>
      <c r="AO433" s="4">
        <v>0</v>
      </c>
      <c r="AP433" s="3" t="s">
        <v>58</v>
      </c>
      <c r="AQ433" s="3" t="s">
        <v>58</v>
      </c>
      <c r="AS433" s="6" t="str">
        <f>HYPERLINK("https://creighton-primo.hosted.exlibrisgroup.com/primo-explore/search?tab=default_tab&amp;search_scope=EVERYTHING&amp;vid=01CRU&amp;lang=en_US&amp;offset=0&amp;query=any,contains,991000018329702656","Catalog Record")</f>
        <v>Catalog Record</v>
      </c>
      <c r="AT433" s="6" t="str">
        <f>HYPERLINK("http://www.worldcat.org/oclc/17329","WorldCat Record")</f>
        <v>WorldCat Record</v>
      </c>
      <c r="AU433" s="3" t="s">
        <v>5561</v>
      </c>
      <c r="AV433" s="3" t="s">
        <v>5562</v>
      </c>
      <c r="AW433" s="3" t="s">
        <v>5563</v>
      </c>
      <c r="AX433" s="3" t="s">
        <v>5563</v>
      </c>
      <c r="AY433" s="3" t="s">
        <v>5564</v>
      </c>
      <c r="AZ433" s="3" t="s">
        <v>75</v>
      </c>
      <c r="BC433" s="3" t="s">
        <v>5565</v>
      </c>
      <c r="BD433" s="3" t="s">
        <v>5566</v>
      </c>
    </row>
    <row r="434" spans="1:56" ht="39" customHeight="1" x14ac:dyDescent="0.25">
      <c r="A434" s="7" t="s">
        <v>58</v>
      </c>
      <c r="B434" s="2" t="s">
        <v>5567</v>
      </c>
      <c r="C434" s="2" t="s">
        <v>5568</v>
      </c>
      <c r="D434" s="2" t="s">
        <v>5569</v>
      </c>
      <c r="F434" s="3" t="s">
        <v>58</v>
      </c>
      <c r="G434" s="3" t="s">
        <v>59</v>
      </c>
      <c r="H434" s="3" t="s">
        <v>58</v>
      </c>
      <c r="I434" s="3" t="s">
        <v>58</v>
      </c>
      <c r="J434" s="3" t="s">
        <v>60</v>
      </c>
      <c r="L434" s="2" t="s">
        <v>5570</v>
      </c>
      <c r="M434" s="3" t="s">
        <v>1150</v>
      </c>
      <c r="N434" s="2" t="s">
        <v>476</v>
      </c>
      <c r="O434" s="3" t="s">
        <v>65</v>
      </c>
      <c r="P434" s="3" t="s">
        <v>1724</v>
      </c>
      <c r="R434" s="3" t="s">
        <v>68</v>
      </c>
      <c r="S434" s="4">
        <v>2</v>
      </c>
      <c r="T434" s="4">
        <v>2</v>
      </c>
      <c r="U434" s="5" t="s">
        <v>3253</v>
      </c>
      <c r="V434" s="5" t="s">
        <v>3253</v>
      </c>
      <c r="W434" s="5" t="s">
        <v>3253</v>
      </c>
      <c r="X434" s="5" t="s">
        <v>3253</v>
      </c>
      <c r="Y434" s="4">
        <v>241</v>
      </c>
      <c r="Z434" s="4">
        <v>196</v>
      </c>
      <c r="AA434" s="4">
        <v>515</v>
      </c>
      <c r="AB434" s="4">
        <v>3</v>
      </c>
      <c r="AC434" s="4">
        <v>3</v>
      </c>
      <c r="AD434" s="4">
        <v>15</v>
      </c>
      <c r="AE434" s="4">
        <v>16</v>
      </c>
      <c r="AF434" s="4">
        <v>6</v>
      </c>
      <c r="AG434" s="4">
        <v>7</v>
      </c>
      <c r="AH434" s="4">
        <v>2</v>
      </c>
      <c r="AI434" s="4">
        <v>2</v>
      </c>
      <c r="AJ434" s="4">
        <v>10</v>
      </c>
      <c r="AK434" s="4">
        <v>10</v>
      </c>
      <c r="AL434" s="4">
        <v>2</v>
      </c>
      <c r="AM434" s="4">
        <v>2</v>
      </c>
      <c r="AN434" s="4">
        <v>0</v>
      </c>
      <c r="AO434" s="4">
        <v>0</v>
      </c>
      <c r="AP434" s="3" t="s">
        <v>58</v>
      </c>
      <c r="AQ434" s="3" t="s">
        <v>58</v>
      </c>
      <c r="AS434" s="6" t="str">
        <f>HYPERLINK("https://creighton-primo.hosted.exlibrisgroup.com/primo-explore/search?tab=default_tab&amp;search_scope=EVERYTHING&amp;vid=01CRU&amp;lang=en_US&amp;offset=0&amp;query=any,contains,991004006679702656","Catalog Record")</f>
        <v>Catalog Record</v>
      </c>
      <c r="AT434" s="6" t="str">
        <f>HYPERLINK("http://www.worldcat.org/oclc/33668264","WorldCat Record")</f>
        <v>WorldCat Record</v>
      </c>
      <c r="AU434" s="3" t="s">
        <v>5571</v>
      </c>
      <c r="AV434" s="3" t="s">
        <v>5572</v>
      </c>
      <c r="AW434" s="3" t="s">
        <v>5573</v>
      </c>
      <c r="AX434" s="3" t="s">
        <v>5573</v>
      </c>
      <c r="AY434" s="3" t="s">
        <v>5574</v>
      </c>
      <c r="AZ434" s="3" t="s">
        <v>75</v>
      </c>
      <c r="BB434" s="3" t="s">
        <v>5575</v>
      </c>
      <c r="BC434" s="3" t="s">
        <v>5576</v>
      </c>
      <c r="BD434" s="3" t="s">
        <v>5577</v>
      </c>
    </row>
    <row r="435" spans="1:56" ht="39" customHeight="1" x14ac:dyDescent="0.25">
      <c r="A435" s="7" t="s">
        <v>58</v>
      </c>
      <c r="B435" s="2" t="s">
        <v>5578</v>
      </c>
      <c r="C435" s="2" t="s">
        <v>5579</v>
      </c>
      <c r="D435" s="2" t="s">
        <v>5580</v>
      </c>
      <c r="F435" s="3" t="s">
        <v>58</v>
      </c>
      <c r="G435" s="3" t="s">
        <v>59</v>
      </c>
      <c r="H435" s="3" t="s">
        <v>58</v>
      </c>
      <c r="I435" s="3" t="s">
        <v>58</v>
      </c>
      <c r="J435" s="3" t="s">
        <v>60</v>
      </c>
      <c r="K435" s="2" t="s">
        <v>5581</v>
      </c>
      <c r="L435" s="2" t="s">
        <v>5582</v>
      </c>
      <c r="M435" s="3" t="s">
        <v>415</v>
      </c>
      <c r="O435" s="3" t="s">
        <v>65</v>
      </c>
      <c r="P435" s="3" t="s">
        <v>186</v>
      </c>
      <c r="R435" s="3" t="s">
        <v>68</v>
      </c>
      <c r="S435" s="4">
        <v>3</v>
      </c>
      <c r="T435" s="4">
        <v>3</v>
      </c>
      <c r="U435" s="5" t="s">
        <v>5583</v>
      </c>
      <c r="V435" s="5" t="s">
        <v>5583</v>
      </c>
      <c r="W435" s="5" t="s">
        <v>3989</v>
      </c>
      <c r="X435" s="5" t="s">
        <v>3989</v>
      </c>
      <c r="Y435" s="4">
        <v>521</v>
      </c>
      <c r="Z435" s="4">
        <v>486</v>
      </c>
      <c r="AA435" s="4">
        <v>569</v>
      </c>
      <c r="AB435" s="4">
        <v>5</v>
      </c>
      <c r="AC435" s="4">
        <v>5</v>
      </c>
      <c r="AD435" s="4">
        <v>16</v>
      </c>
      <c r="AE435" s="4">
        <v>19</v>
      </c>
      <c r="AF435" s="4">
        <v>6</v>
      </c>
      <c r="AG435" s="4">
        <v>7</v>
      </c>
      <c r="AH435" s="4">
        <v>3</v>
      </c>
      <c r="AI435" s="4">
        <v>3</v>
      </c>
      <c r="AJ435" s="4">
        <v>10</v>
      </c>
      <c r="AK435" s="4">
        <v>12</v>
      </c>
      <c r="AL435" s="4">
        <v>2</v>
      </c>
      <c r="AM435" s="4">
        <v>2</v>
      </c>
      <c r="AN435" s="4">
        <v>0</v>
      </c>
      <c r="AO435" s="4">
        <v>0</v>
      </c>
      <c r="AP435" s="3" t="s">
        <v>58</v>
      </c>
      <c r="AQ435" s="3" t="s">
        <v>58</v>
      </c>
      <c r="AS435" s="6" t="str">
        <f>HYPERLINK("https://creighton-primo.hosted.exlibrisgroup.com/primo-explore/search?tab=default_tab&amp;search_scope=EVERYTHING&amp;vid=01CRU&amp;lang=en_US&amp;offset=0&amp;query=any,contains,991003477709702656","Catalog Record")</f>
        <v>Catalog Record</v>
      </c>
      <c r="AT435" s="6" t="str">
        <f>HYPERLINK("http://www.worldcat.org/oclc/18569549","WorldCat Record")</f>
        <v>WorldCat Record</v>
      </c>
      <c r="AU435" s="3" t="s">
        <v>5584</v>
      </c>
      <c r="AV435" s="3" t="s">
        <v>5585</v>
      </c>
      <c r="AW435" s="3" t="s">
        <v>5586</v>
      </c>
      <c r="AX435" s="3" t="s">
        <v>5586</v>
      </c>
      <c r="AY435" s="3" t="s">
        <v>5587</v>
      </c>
      <c r="AZ435" s="3" t="s">
        <v>75</v>
      </c>
      <c r="BC435" s="3" t="s">
        <v>5588</v>
      </c>
      <c r="BD435" s="3" t="s">
        <v>5589</v>
      </c>
    </row>
    <row r="436" spans="1:56" ht="39" customHeight="1" x14ac:dyDescent="0.25">
      <c r="A436" s="7" t="s">
        <v>58</v>
      </c>
      <c r="B436" s="2" t="s">
        <v>5590</v>
      </c>
      <c r="C436" s="2" t="s">
        <v>5591</v>
      </c>
      <c r="D436" s="2" t="s">
        <v>5592</v>
      </c>
      <c r="F436" s="3" t="s">
        <v>58</v>
      </c>
      <c r="G436" s="3" t="s">
        <v>59</v>
      </c>
      <c r="H436" s="3" t="s">
        <v>58</v>
      </c>
      <c r="I436" s="3" t="s">
        <v>58</v>
      </c>
      <c r="J436" s="3" t="s">
        <v>60</v>
      </c>
      <c r="K436" s="2" t="s">
        <v>5593</v>
      </c>
      <c r="L436" s="2" t="s">
        <v>5594</v>
      </c>
      <c r="M436" s="3" t="s">
        <v>709</v>
      </c>
      <c r="O436" s="3" t="s">
        <v>65</v>
      </c>
      <c r="P436" s="3" t="s">
        <v>113</v>
      </c>
      <c r="Q436" s="2" t="s">
        <v>5595</v>
      </c>
      <c r="R436" s="3" t="s">
        <v>68</v>
      </c>
      <c r="S436" s="4">
        <v>1</v>
      </c>
      <c r="T436" s="4">
        <v>1</v>
      </c>
      <c r="U436" s="5" t="s">
        <v>5596</v>
      </c>
      <c r="V436" s="5" t="s">
        <v>5596</v>
      </c>
      <c r="W436" s="5" t="s">
        <v>657</v>
      </c>
      <c r="X436" s="5" t="s">
        <v>657</v>
      </c>
      <c r="Y436" s="4">
        <v>70</v>
      </c>
      <c r="Z436" s="4">
        <v>67</v>
      </c>
      <c r="AA436" s="4">
        <v>82</v>
      </c>
      <c r="AB436" s="4">
        <v>1</v>
      </c>
      <c r="AC436" s="4">
        <v>1</v>
      </c>
      <c r="AD436" s="4">
        <v>16</v>
      </c>
      <c r="AE436" s="4">
        <v>16</v>
      </c>
      <c r="AF436" s="4">
        <v>5</v>
      </c>
      <c r="AG436" s="4">
        <v>5</v>
      </c>
      <c r="AH436" s="4">
        <v>4</v>
      </c>
      <c r="AI436" s="4">
        <v>4</v>
      </c>
      <c r="AJ436" s="4">
        <v>12</v>
      </c>
      <c r="AK436" s="4">
        <v>12</v>
      </c>
      <c r="AL436" s="4">
        <v>0</v>
      </c>
      <c r="AM436" s="4">
        <v>0</v>
      </c>
      <c r="AN436" s="4">
        <v>0</v>
      </c>
      <c r="AO436" s="4">
        <v>0</v>
      </c>
      <c r="AP436" s="3" t="s">
        <v>58</v>
      </c>
      <c r="AQ436" s="3" t="s">
        <v>58</v>
      </c>
      <c r="AS436" s="6" t="str">
        <f>HYPERLINK("https://creighton-primo.hosted.exlibrisgroup.com/primo-explore/search?tab=default_tab&amp;search_scope=EVERYTHING&amp;vid=01CRU&amp;lang=en_US&amp;offset=0&amp;query=any,contains,991001685479702656","Catalog Record")</f>
        <v>Catalog Record</v>
      </c>
      <c r="AT436" s="6" t="str">
        <f>HYPERLINK("http://www.worldcat.org/oclc/21397812","WorldCat Record")</f>
        <v>WorldCat Record</v>
      </c>
      <c r="AU436" s="3" t="s">
        <v>5597</v>
      </c>
      <c r="AV436" s="3" t="s">
        <v>5598</v>
      </c>
      <c r="AW436" s="3" t="s">
        <v>5599</v>
      </c>
      <c r="AX436" s="3" t="s">
        <v>5599</v>
      </c>
      <c r="AY436" s="3" t="s">
        <v>5600</v>
      </c>
      <c r="AZ436" s="3" t="s">
        <v>75</v>
      </c>
      <c r="BB436" s="3" t="s">
        <v>5601</v>
      </c>
      <c r="BC436" s="3" t="s">
        <v>5602</v>
      </c>
      <c r="BD436" s="3" t="s">
        <v>5603</v>
      </c>
    </row>
    <row r="437" spans="1:56" ht="39" customHeight="1" x14ac:dyDescent="0.25">
      <c r="A437" s="7" t="s">
        <v>58</v>
      </c>
      <c r="B437" s="2" t="s">
        <v>5604</v>
      </c>
      <c r="C437" s="2" t="s">
        <v>5605</v>
      </c>
      <c r="D437" s="2" t="s">
        <v>5606</v>
      </c>
      <c r="F437" s="3" t="s">
        <v>58</v>
      </c>
      <c r="G437" s="3" t="s">
        <v>59</v>
      </c>
      <c r="H437" s="3" t="s">
        <v>58</v>
      </c>
      <c r="I437" s="3" t="s">
        <v>58</v>
      </c>
      <c r="J437" s="3" t="s">
        <v>60</v>
      </c>
      <c r="K437" s="2" t="s">
        <v>5607</v>
      </c>
      <c r="L437" s="2" t="s">
        <v>5608</v>
      </c>
      <c r="M437" s="3" t="s">
        <v>112</v>
      </c>
      <c r="N437" s="2" t="s">
        <v>476</v>
      </c>
      <c r="O437" s="3" t="s">
        <v>65</v>
      </c>
      <c r="P437" s="3" t="s">
        <v>1724</v>
      </c>
      <c r="R437" s="3" t="s">
        <v>68</v>
      </c>
      <c r="S437" s="4">
        <v>5</v>
      </c>
      <c r="T437" s="4">
        <v>5</v>
      </c>
      <c r="U437" s="5" t="s">
        <v>5278</v>
      </c>
      <c r="V437" s="5" t="s">
        <v>5278</v>
      </c>
      <c r="W437" s="5" t="s">
        <v>5609</v>
      </c>
      <c r="X437" s="5" t="s">
        <v>5609</v>
      </c>
      <c r="Y437" s="4">
        <v>262</v>
      </c>
      <c r="Z437" s="4">
        <v>205</v>
      </c>
      <c r="AA437" s="4">
        <v>218</v>
      </c>
      <c r="AB437" s="4">
        <v>1</v>
      </c>
      <c r="AC437" s="4">
        <v>2</v>
      </c>
      <c r="AD437" s="4">
        <v>13</v>
      </c>
      <c r="AE437" s="4">
        <v>15</v>
      </c>
      <c r="AF437" s="4">
        <v>5</v>
      </c>
      <c r="AG437" s="4">
        <v>6</v>
      </c>
      <c r="AH437" s="4">
        <v>2</v>
      </c>
      <c r="AI437" s="4">
        <v>3</v>
      </c>
      <c r="AJ437" s="4">
        <v>9</v>
      </c>
      <c r="AK437" s="4">
        <v>9</v>
      </c>
      <c r="AL437" s="4">
        <v>0</v>
      </c>
      <c r="AM437" s="4">
        <v>1</v>
      </c>
      <c r="AN437" s="4">
        <v>0</v>
      </c>
      <c r="AO437" s="4">
        <v>0</v>
      </c>
      <c r="AP437" s="3" t="s">
        <v>58</v>
      </c>
      <c r="AQ437" s="3" t="s">
        <v>58</v>
      </c>
      <c r="AS437" s="6" t="str">
        <f>HYPERLINK("https://creighton-primo.hosted.exlibrisgroup.com/primo-explore/search?tab=default_tab&amp;search_scope=EVERYTHING&amp;vid=01CRU&amp;lang=en_US&amp;offset=0&amp;query=any,contains,991001992339702656","Catalog Record")</f>
        <v>Catalog Record</v>
      </c>
      <c r="AT437" s="6" t="str">
        <f>HYPERLINK("http://www.worldcat.org/oclc/25316122","WorldCat Record")</f>
        <v>WorldCat Record</v>
      </c>
      <c r="AU437" s="3" t="s">
        <v>5610</v>
      </c>
      <c r="AV437" s="3" t="s">
        <v>5611</v>
      </c>
      <c r="AW437" s="3" t="s">
        <v>5612</v>
      </c>
      <c r="AX437" s="3" t="s">
        <v>5612</v>
      </c>
      <c r="AY437" s="3" t="s">
        <v>5613</v>
      </c>
      <c r="AZ437" s="3" t="s">
        <v>75</v>
      </c>
      <c r="BB437" s="3" t="s">
        <v>5614</v>
      </c>
      <c r="BC437" s="3" t="s">
        <v>5615</v>
      </c>
      <c r="BD437" s="3" t="s">
        <v>5616</v>
      </c>
    </row>
    <row r="438" spans="1:56" ht="39" customHeight="1" x14ac:dyDescent="0.25">
      <c r="A438" s="7" t="s">
        <v>58</v>
      </c>
      <c r="B438" s="2" t="s">
        <v>5617</v>
      </c>
      <c r="C438" s="2" t="s">
        <v>5618</v>
      </c>
      <c r="D438" s="2" t="s">
        <v>5619</v>
      </c>
      <c r="F438" s="3" t="s">
        <v>58</v>
      </c>
      <c r="G438" s="3" t="s">
        <v>59</v>
      </c>
      <c r="H438" s="3" t="s">
        <v>58</v>
      </c>
      <c r="I438" s="3" t="s">
        <v>58</v>
      </c>
      <c r="J438" s="3" t="s">
        <v>60</v>
      </c>
      <c r="K438" s="2" t="s">
        <v>5620</v>
      </c>
      <c r="L438" s="2" t="s">
        <v>5621</v>
      </c>
      <c r="M438" s="3" t="s">
        <v>4503</v>
      </c>
      <c r="N438" s="2" t="s">
        <v>2831</v>
      </c>
      <c r="O438" s="3" t="s">
        <v>65</v>
      </c>
      <c r="P438" s="3" t="s">
        <v>186</v>
      </c>
      <c r="R438" s="3" t="s">
        <v>68</v>
      </c>
      <c r="S438" s="4">
        <v>1</v>
      </c>
      <c r="T438" s="4">
        <v>1</v>
      </c>
      <c r="U438" s="5" t="s">
        <v>5622</v>
      </c>
      <c r="V438" s="5" t="s">
        <v>5622</v>
      </c>
      <c r="W438" s="5" t="s">
        <v>3869</v>
      </c>
      <c r="X438" s="5" t="s">
        <v>3869</v>
      </c>
      <c r="Y438" s="4">
        <v>764</v>
      </c>
      <c r="Z438" s="4">
        <v>674</v>
      </c>
      <c r="AA438" s="4">
        <v>737</v>
      </c>
      <c r="AB438" s="4">
        <v>6</v>
      </c>
      <c r="AC438" s="4">
        <v>6</v>
      </c>
      <c r="AD438" s="4">
        <v>34</v>
      </c>
      <c r="AE438" s="4">
        <v>35</v>
      </c>
      <c r="AF438" s="4">
        <v>12</v>
      </c>
      <c r="AG438" s="4">
        <v>13</v>
      </c>
      <c r="AH438" s="4">
        <v>6</v>
      </c>
      <c r="AI438" s="4">
        <v>7</v>
      </c>
      <c r="AJ438" s="4">
        <v>19</v>
      </c>
      <c r="AK438" s="4">
        <v>19</v>
      </c>
      <c r="AL438" s="4">
        <v>4</v>
      </c>
      <c r="AM438" s="4">
        <v>4</v>
      </c>
      <c r="AN438" s="4">
        <v>0</v>
      </c>
      <c r="AO438" s="4">
        <v>0</v>
      </c>
      <c r="AP438" s="3" t="s">
        <v>58</v>
      </c>
      <c r="AQ438" s="3" t="s">
        <v>132</v>
      </c>
      <c r="AR438" s="6" t="str">
        <f>HYPERLINK("http://catalog.hathitrust.org/Record/000004445","HathiTrust Record")</f>
        <v>HathiTrust Record</v>
      </c>
      <c r="AS438" s="6" t="str">
        <f>HYPERLINK("https://creighton-primo.hosted.exlibrisgroup.com/primo-explore/search?tab=default_tab&amp;search_scope=EVERYTHING&amp;vid=01CRU&amp;lang=en_US&amp;offset=0&amp;query=any,contains,991002287869702656","Catalog Record")</f>
        <v>Catalog Record</v>
      </c>
      <c r="AT438" s="6" t="str">
        <f>HYPERLINK("http://www.worldcat.org/oclc/312081","WorldCat Record")</f>
        <v>WorldCat Record</v>
      </c>
      <c r="AU438" s="3" t="s">
        <v>5623</v>
      </c>
      <c r="AV438" s="3" t="s">
        <v>5624</v>
      </c>
      <c r="AW438" s="3" t="s">
        <v>5625</v>
      </c>
      <c r="AX438" s="3" t="s">
        <v>5625</v>
      </c>
      <c r="AY438" s="3" t="s">
        <v>5626</v>
      </c>
      <c r="AZ438" s="3" t="s">
        <v>75</v>
      </c>
      <c r="BC438" s="3" t="s">
        <v>5627</v>
      </c>
      <c r="BD438" s="3" t="s">
        <v>5628</v>
      </c>
    </row>
    <row r="439" spans="1:56" ht="39" customHeight="1" x14ac:dyDescent="0.25">
      <c r="A439" s="7" t="s">
        <v>58</v>
      </c>
      <c r="B439" s="2" t="s">
        <v>5629</v>
      </c>
      <c r="C439" s="2" t="s">
        <v>5630</v>
      </c>
      <c r="D439" s="2" t="s">
        <v>5631</v>
      </c>
      <c r="F439" s="3" t="s">
        <v>58</v>
      </c>
      <c r="G439" s="3" t="s">
        <v>59</v>
      </c>
      <c r="H439" s="3" t="s">
        <v>58</v>
      </c>
      <c r="I439" s="3" t="s">
        <v>58</v>
      </c>
      <c r="J439" s="3" t="s">
        <v>60</v>
      </c>
      <c r="K439" s="2" t="s">
        <v>5632</v>
      </c>
      <c r="L439" s="2" t="s">
        <v>5633</v>
      </c>
      <c r="M439" s="3" t="s">
        <v>781</v>
      </c>
      <c r="O439" s="3" t="s">
        <v>65</v>
      </c>
      <c r="P439" s="3" t="s">
        <v>230</v>
      </c>
      <c r="Q439" s="2" t="s">
        <v>5634</v>
      </c>
      <c r="R439" s="3" t="s">
        <v>68</v>
      </c>
      <c r="S439" s="4">
        <v>3</v>
      </c>
      <c r="T439" s="4">
        <v>3</v>
      </c>
      <c r="U439" s="5" t="s">
        <v>5622</v>
      </c>
      <c r="V439" s="5" t="s">
        <v>5622</v>
      </c>
      <c r="W439" s="5" t="s">
        <v>5635</v>
      </c>
      <c r="X439" s="5" t="s">
        <v>5635</v>
      </c>
      <c r="Y439" s="4">
        <v>241</v>
      </c>
      <c r="Z439" s="4">
        <v>192</v>
      </c>
      <c r="AA439" s="4">
        <v>195</v>
      </c>
      <c r="AB439" s="4">
        <v>3</v>
      </c>
      <c r="AC439" s="4">
        <v>3</v>
      </c>
      <c r="AD439" s="4">
        <v>15</v>
      </c>
      <c r="AE439" s="4">
        <v>15</v>
      </c>
      <c r="AF439" s="4">
        <v>5</v>
      </c>
      <c r="AG439" s="4">
        <v>5</v>
      </c>
      <c r="AH439" s="4">
        <v>3</v>
      </c>
      <c r="AI439" s="4">
        <v>3</v>
      </c>
      <c r="AJ439" s="4">
        <v>11</v>
      </c>
      <c r="AK439" s="4">
        <v>11</v>
      </c>
      <c r="AL439" s="4">
        <v>1</v>
      </c>
      <c r="AM439" s="4">
        <v>1</v>
      </c>
      <c r="AN439" s="4">
        <v>0</v>
      </c>
      <c r="AO439" s="4">
        <v>0</v>
      </c>
      <c r="AP439" s="3" t="s">
        <v>58</v>
      </c>
      <c r="AQ439" s="3" t="s">
        <v>58</v>
      </c>
      <c r="AS439" s="6" t="str">
        <f>HYPERLINK("https://creighton-primo.hosted.exlibrisgroup.com/primo-explore/search?tab=default_tab&amp;search_scope=EVERYTHING&amp;vid=01CRU&amp;lang=en_US&amp;offset=0&amp;query=any,contains,991000683779702656","Catalog Record")</f>
        <v>Catalog Record</v>
      </c>
      <c r="AT439" s="6" t="str">
        <f>HYPERLINK("http://www.worldcat.org/oclc/12419566","WorldCat Record")</f>
        <v>WorldCat Record</v>
      </c>
      <c r="AU439" s="3" t="s">
        <v>5636</v>
      </c>
      <c r="AV439" s="3" t="s">
        <v>5637</v>
      </c>
      <c r="AW439" s="3" t="s">
        <v>5638</v>
      </c>
      <c r="AX439" s="3" t="s">
        <v>5638</v>
      </c>
      <c r="AY439" s="3" t="s">
        <v>5639</v>
      </c>
      <c r="AZ439" s="3" t="s">
        <v>75</v>
      </c>
      <c r="BB439" s="3" t="s">
        <v>5640</v>
      </c>
      <c r="BC439" s="3" t="s">
        <v>5641</v>
      </c>
      <c r="BD439" s="3" t="s">
        <v>5642</v>
      </c>
    </row>
    <row r="440" spans="1:56" ht="39" customHeight="1" x14ac:dyDescent="0.25">
      <c r="A440" s="7" t="s">
        <v>58</v>
      </c>
      <c r="B440" s="2" t="s">
        <v>5643</v>
      </c>
      <c r="C440" s="2" t="s">
        <v>5644</v>
      </c>
      <c r="D440" s="2" t="s">
        <v>5645</v>
      </c>
      <c r="F440" s="3" t="s">
        <v>58</v>
      </c>
      <c r="G440" s="3" t="s">
        <v>59</v>
      </c>
      <c r="H440" s="3" t="s">
        <v>58</v>
      </c>
      <c r="I440" s="3" t="s">
        <v>58</v>
      </c>
      <c r="J440" s="3" t="s">
        <v>60</v>
      </c>
      <c r="L440" s="2" t="s">
        <v>5646</v>
      </c>
      <c r="M440" s="3" t="s">
        <v>374</v>
      </c>
      <c r="O440" s="3" t="s">
        <v>65</v>
      </c>
      <c r="P440" s="3" t="s">
        <v>186</v>
      </c>
      <c r="Q440" s="2" t="s">
        <v>5647</v>
      </c>
      <c r="R440" s="3" t="s">
        <v>68</v>
      </c>
      <c r="S440" s="4">
        <v>2</v>
      </c>
      <c r="T440" s="4">
        <v>2</v>
      </c>
      <c r="U440" s="5" t="s">
        <v>5648</v>
      </c>
      <c r="V440" s="5" t="s">
        <v>5648</v>
      </c>
      <c r="W440" s="5" t="s">
        <v>5649</v>
      </c>
      <c r="X440" s="5" t="s">
        <v>5649</v>
      </c>
      <c r="Y440" s="4">
        <v>209</v>
      </c>
      <c r="Z440" s="4">
        <v>180</v>
      </c>
      <c r="AA440" s="4">
        <v>180</v>
      </c>
      <c r="AB440" s="4">
        <v>2</v>
      </c>
      <c r="AC440" s="4">
        <v>2</v>
      </c>
      <c r="AD440" s="4">
        <v>16</v>
      </c>
      <c r="AE440" s="4">
        <v>16</v>
      </c>
      <c r="AF440" s="4">
        <v>5</v>
      </c>
      <c r="AG440" s="4">
        <v>5</v>
      </c>
      <c r="AH440" s="4">
        <v>4</v>
      </c>
      <c r="AI440" s="4">
        <v>4</v>
      </c>
      <c r="AJ440" s="4">
        <v>10</v>
      </c>
      <c r="AK440" s="4">
        <v>10</v>
      </c>
      <c r="AL440" s="4">
        <v>1</v>
      </c>
      <c r="AM440" s="4">
        <v>1</v>
      </c>
      <c r="AN440" s="4">
        <v>0</v>
      </c>
      <c r="AO440" s="4">
        <v>0</v>
      </c>
      <c r="AP440" s="3" t="s">
        <v>58</v>
      </c>
      <c r="AQ440" s="3" t="s">
        <v>58</v>
      </c>
      <c r="AS440" s="6" t="str">
        <f>HYPERLINK("https://creighton-primo.hosted.exlibrisgroup.com/primo-explore/search?tab=default_tab&amp;search_scope=EVERYTHING&amp;vid=01CRU&amp;lang=en_US&amp;offset=0&amp;query=any,contains,991002426809702656","Catalog Record")</f>
        <v>Catalog Record</v>
      </c>
      <c r="AT440" s="6" t="str">
        <f>HYPERLINK("http://www.worldcat.org/oclc/31608922","WorldCat Record")</f>
        <v>WorldCat Record</v>
      </c>
      <c r="AU440" s="3" t="s">
        <v>5650</v>
      </c>
      <c r="AV440" s="3" t="s">
        <v>5651</v>
      </c>
      <c r="AW440" s="3" t="s">
        <v>5652</v>
      </c>
      <c r="AX440" s="3" t="s">
        <v>5652</v>
      </c>
      <c r="AY440" s="3" t="s">
        <v>5653</v>
      </c>
      <c r="AZ440" s="3" t="s">
        <v>75</v>
      </c>
      <c r="BB440" s="3" t="s">
        <v>5654</v>
      </c>
      <c r="BC440" s="3" t="s">
        <v>5655</v>
      </c>
      <c r="BD440" s="3" t="s">
        <v>5656</v>
      </c>
    </row>
    <row r="441" spans="1:56" ht="39" customHeight="1" x14ac:dyDescent="0.25">
      <c r="A441" s="7" t="s">
        <v>58</v>
      </c>
      <c r="B441" s="2" t="s">
        <v>5657</v>
      </c>
      <c r="C441" s="2" t="s">
        <v>5658</v>
      </c>
      <c r="D441" s="2" t="s">
        <v>5659</v>
      </c>
      <c r="F441" s="3" t="s">
        <v>58</v>
      </c>
      <c r="G441" s="3" t="s">
        <v>59</v>
      </c>
      <c r="H441" s="3" t="s">
        <v>58</v>
      </c>
      <c r="I441" s="3" t="s">
        <v>58</v>
      </c>
      <c r="J441" s="3" t="s">
        <v>60</v>
      </c>
      <c r="K441" s="2" t="s">
        <v>5660</v>
      </c>
      <c r="L441" s="2" t="s">
        <v>5661</v>
      </c>
      <c r="M441" s="3" t="s">
        <v>781</v>
      </c>
      <c r="O441" s="3" t="s">
        <v>65</v>
      </c>
      <c r="P441" s="3" t="s">
        <v>477</v>
      </c>
      <c r="Q441" s="2" t="s">
        <v>5634</v>
      </c>
      <c r="R441" s="3" t="s">
        <v>68</v>
      </c>
      <c r="S441" s="4">
        <v>5</v>
      </c>
      <c r="T441" s="4">
        <v>5</v>
      </c>
      <c r="U441" s="5" t="s">
        <v>5278</v>
      </c>
      <c r="V441" s="5" t="s">
        <v>5278</v>
      </c>
      <c r="W441" s="5" t="s">
        <v>3869</v>
      </c>
      <c r="X441" s="5" t="s">
        <v>3869</v>
      </c>
      <c r="Y441" s="4">
        <v>304</v>
      </c>
      <c r="Z441" s="4">
        <v>236</v>
      </c>
      <c r="AA441" s="4">
        <v>242</v>
      </c>
      <c r="AB441" s="4">
        <v>2</v>
      </c>
      <c r="AC441" s="4">
        <v>2</v>
      </c>
      <c r="AD441" s="4">
        <v>16</v>
      </c>
      <c r="AE441" s="4">
        <v>16</v>
      </c>
      <c r="AF441" s="4">
        <v>4</v>
      </c>
      <c r="AG441" s="4">
        <v>4</v>
      </c>
      <c r="AH441" s="4">
        <v>2</v>
      </c>
      <c r="AI441" s="4">
        <v>2</v>
      </c>
      <c r="AJ441" s="4">
        <v>11</v>
      </c>
      <c r="AK441" s="4">
        <v>11</v>
      </c>
      <c r="AL441" s="4">
        <v>1</v>
      </c>
      <c r="AM441" s="4">
        <v>1</v>
      </c>
      <c r="AN441" s="4">
        <v>0</v>
      </c>
      <c r="AO441" s="4">
        <v>0</v>
      </c>
      <c r="AP441" s="3" t="s">
        <v>58</v>
      </c>
      <c r="AQ441" s="3" t="s">
        <v>58</v>
      </c>
      <c r="AS441" s="6" t="str">
        <f>HYPERLINK("https://creighton-primo.hosted.exlibrisgroup.com/primo-explore/search?tab=default_tab&amp;search_scope=EVERYTHING&amp;vid=01CRU&amp;lang=en_US&amp;offset=0&amp;query=any,contains,991000642769702656","Catalog Record")</f>
        <v>Catalog Record</v>
      </c>
      <c r="AT441" s="6" t="str">
        <f>HYPERLINK("http://www.worldcat.org/oclc/12107437","WorldCat Record")</f>
        <v>WorldCat Record</v>
      </c>
      <c r="AU441" s="3" t="s">
        <v>5662</v>
      </c>
      <c r="AV441" s="3" t="s">
        <v>5663</v>
      </c>
      <c r="AW441" s="3" t="s">
        <v>5664</v>
      </c>
      <c r="AX441" s="3" t="s">
        <v>5664</v>
      </c>
      <c r="AY441" s="3" t="s">
        <v>5665</v>
      </c>
      <c r="AZ441" s="3" t="s">
        <v>75</v>
      </c>
      <c r="BB441" s="3" t="s">
        <v>5666</v>
      </c>
      <c r="BC441" s="3" t="s">
        <v>5667</v>
      </c>
      <c r="BD441" s="3" t="s">
        <v>5668</v>
      </c>
    </row>
    <row r="442" spans="1:56" ht="39" customHeight="1" x14ac:dyDescent="0.25">
      <c r="A442" s="7" t="s">
        <v>58</v>
      </c>
      <c r="B442" s="2" t="s">
        <v>5669</v>
      </c>
      <c r="C442" s="2" t="s">
        <v>5670</v>
      </c>
      <c r="D442" s="2" t="s">
        <v>5671</v>
      </c>
      <c r="F442" s="3" t="s">
        <v>58</v>
      </c>
      <c r="G442" s="3" t="s">
        <v>59</v>
      </c>
      <c r="H442" s="3" t="s">
        <v>58</v>
      </c>
      <c r="I442" s="3" t="s">
        <v>58</v>
      </c>
      <c r="J442" s="3" t="s">
        <v>60</v>
      </c>
      <c r="K442" s="2" t="s">
        <v>5672</v>
      </c>
      <c r="L442" s="2" t="s">
        <v>5673</v>
      </c>
      <c r="M442" s="3" t="s">
        <v>215</v>
      </c>
      <c r="O442" s="3" t="s">
        <v>65</v>
      </c>
      <c r="P442" s="3" t="s">
        <v>230</v>
      </c>
      <c r="Q442" s="2" t="s">
        <v>5634</v>
      </c>
      <c r="R442" s="3" t="s">
        <v>68</v>
      </c>
      <c r="S442" s="4">
        <v>3</v>
      </c>
      <c r="T442" s="4">
        <v>3</v>
      </c>
      <c r="U442" s="5" t="s">
        <v>5674</v>
      </c>
      <c r="V442" s="5" t="s">
        <v>5674</v>
      </c>
      <c r="W442" s="5" t="s">
        <v>1582</v>
      </c>
      <c r="X442" s="5" t="s">
        <v>1582</v>
      </c>
      <c r="Y442" s="4">
        <v>253</v>
      </c>
      <c r="Z442" s="4">
        <v>203</v>
      </c>
      <c r="AA442" s="4">
        <v>203</v>
      </c>
      <c r="AB442" s="4">
        <v>3</v>
      </c>
      <c r="AC442" s="4">
        <v>3</v>
      </c>
      <c r="AD442" s="4">
        <v>12</v>
      </c>
      <c r="AE442" s="4">
        <v>12</v>
      </c>
      <c r="AF442" s="4">
        <v>5</v>
      </c>
      <c r="AG442" s="4">
        <v>5</v>
      </c>
      <c r="AH442" s="4">
        <v>3</v>
      </c>
      <c r="AI442" s="4">
        <v>3</v>
      </c>
      <c r="AJ442" s="4">
        <v>3</v>
      </c>
      <c r="AK442" s="4">
        <v>3</v>
      </c>
      <c r="AL442" s="4">
        <v>2</v>
      </c>
      <c r="AM442" s="4">
        <v>2</v>
      </c>
      <c r="AN442" s="4">
        <v>0</v>
      </c>
      <c r="AO442" s="4">
        <v>0</v>
      </c>
      <c r="AP442" s="3" t="s">
        <v>58</v>
      </c>
      <c r="AQ442" s="3" t="s">
        <v>58</v>
      </c>
      <c r="AS442" s="6" t="str">
        <f>HYPERLINK("https://creighton-primo.hosted.exlibrisgroup.com/primo-explore/search?tab=default_tab&amp;search_scope=EVERYTHING&amp;vid=01CRU&amp;lang=en_US&amp;offset=0&amp;query=any,contains,991005408079702656","Catalog Record")</f>
        <v>Catalog Record</v>
      </c>
      <c r="AT442" s="6" t="str">
        <f>HYPERLINK("http://www.worldcat.org/oclc/16227793","WorldCat Record")</f>
        <v>WorldCat Record</v>
      </c>
      <c r="AU442" s="3" t="s">
        <v>5675</v>
      </c>
      <c r="AV442" s="3" t="s">
        <v>5676</v>
      </c>
      <c r="AW442" s="3" t="s">
        <v>5677</v>
      </c>
      <c r="AX442" s="3" t="s">
        <v>5677</v>
      </c>
      <c r="AY442" s="3" t="s">
        <v>5678</v>
      </c>
      <c r="AZ442" s="3" t="s">
        <v>75</v>
      </c>
      <c r="BB442" s="3" t="s">
        <v>5679</v>
      </c>
      <c r="BC442" s="3" t="s">
        <v>5680</v>
      </c>
      <c r="BD442" s="3" t="s">
        <v>5681</v>
      </c>
    </row>
    <row r="443" spans="1:56" ht="39" customHeight="1" x14ac:dyDescent="0.25">
      <c r="A443" s="7" t="s">
        <v>58</v>
      </c>
      <c r="B443" s="2" t="s">
        <v>5682</v>
      </c>
      <c r="C443" s="2" t="s">
        <v>5683</v>
      </c>
      <c r="D443" s="2" t="s">
        <v>5684</v>
      </c>
      <c r="F443" s="3" t="s">
        <v>58</v>
      </c>
      <c r="G443" s="3" t="s">
        <v>59</v>
      </c>
      <c r="H443" s="3" t="s">
        <v>58</v>
      </c>
      <c r="I443" s="3" t="s">
        <v>58</v>
      </c>
      <c r="J443" s="3" t="s">
        <v>60</v>
      </c>
      <c r="K443" s="2" t="s">
        <v>5685</v>
      </c>
      <c r="L443" s="2" t="s">
        <v>5686</v>
      </c>
      <c r="M443" s="3" t="s">
        <v>128</v>
      </c>
      <c r="O443" s="3" t="s">
        <v>65</v>
      </c>
      <c r="P443" s="3" t="s">
        <v>1345</v>
      </c>
      <c r="R443" s="3" t="s">
        <v>68</v>
      </c>
      <c r="S443" s="4">
        <v>5</v>
      </c>
      <c r="T443" s="4">
        <v>5</v>
      </c>
      <c r="U443" s="5" t="s">
        <v>5687</v>
      </c>
      <c r="V443" s="5" t="s">
        <v>5687</v>
      </c>
      <c r="W443" s="5" t="s">
        <v>3869</v>
      </c>
      <c r="X443" s="5" t="s">
        <v>3869</v>
      </c>
      <c r="Y443" s="4">
        <v>106</v>
      </c>
      <c r="Z443" s="4">
        <v>98</v>
      </c>
      <c r="AA443" s="4">
        <v>99</v>
      </c>
      <c r="AB443" s="4">
        <v>2</v>
      </c>
      <c r="AC443" s="4">
        <v>2</v>
      </c>
      <c r="AD443" s="4">
        <v>3</v>
      </c>
      <c r="AE443" s="4">
        <v>3</v>
      </c>
      <c r="AF443" s="4">
        <v>1</v>
      </c>
      <c r="AG443" s="4">
        <v>1</v>
      </c>
      <c r="AH443" s="4">
        <v>0</v>
      </c>
      <c r="AI443" s="4">
        <v>0</v>
      </c>
      <c r="AJ443" s="4">
        <v>1</v>
      </c>
      <c r="AK443" s="4">
        <v>1</v>
      </c>
      <c r="AL443" s="4">
        <v>1</v>
      </c>
      <c r="AM443" s="4">
        <v>1</v>
      </c>
      <c r="AN443" s="4">
        <v>0</v>
      </c>
      <c r="AO443" s="4">
        <v>0</v>
      </c>
      <c r="AP443" s="3" t="s">
        <v>58</v>
      </c>
      <c r="AQ443" s="3" t="s">
        <v>58</v>
      </c>
      <c r="AS443" s="6" t="str">
        <f>HYPERLINK("https://creighton-primo.hosted.exlibrisgroup.com/primo-explore/search?tab=default_tab&amp;search_scope=EVERYTHING&amp;vid=01CRU&amp;lang=en_US&amp;offset=0&amp;query=any,contains,991004392339702656","Catalog Record")</f>
        <v>Catalog Record</v>
      </c>
      <c r="AT443" s="6" t="str">
        <f>HYPERLINK("http://www.worldcat.org/oclc/3271741","WorldCat Record")</f>
        <v>WorldCat Record</v>
      </c>
      <c r="AU443" s="3" t="s">
        <v>5688</v>
      </c>
      <c r="AV443" s="3" t="s">
        <v>5689</v>
      </c>
      <c r="AW443" s="3" t="s">
        <v>5690</v>
      </c>
      <c r="AX443" s="3" t="s">
        <v>5690</v>
      </c>
      <c r="AY443" s="3" t="s">
        <v>5691</v>
      </c>
      <c r="AZ443" s="3" t="s">
        <v>75</v>
      </c>
      <c r="BC443" s="3" t="s">
        <v>5692</v>
      </c>
      <c r="BD443" s="3" t="s">
        <v>5693</v>
      </c>
    </row>
    <row r="444" spans="1:56" ht="39" customHeight="1" x14ac:dyDescent="0.25">
      <c r="A444" s="7" t="s">
        <v>58</v>
      </c>
      <c r="B444" s="2" t="s">
        <v>5694</v>
      </c>
      <c r="C444" s="2" t="s">
        <v>5695</v>
      </c>
      <c r="D444" s="2" t="s">
        <v>5696</v>
      </c>
      <c r="F444" s="3" t="s">
        <v>58</v>
      </c>
      <c r="G444" s="3" t="s">
        <v>59</v>
      </c>
      <c r="H444" s="3" t="s">
        <v>58</v>
      </c>
      <c r="I444" s="3" t="s">
        <v>58</v>
      </c>
      <c r="J444" s="3" t="s">
        <v>60</v>
      </c>
      <c r="K444" s="2" t="s">
        <v>5697</v>
      </c>
      <c r="L444" s="2" t="s">
        <v>5698</v>
      </c>
      <c r="M444" s="3" t="s">
        <v>128</v>
      </c>
      <c r="O444" s="3" t="s">
        <v>65</v>
      </c>
      <c r="P444" s="3" t="s">
        <v>186</v>
      </c>
      <c r="R444" s="3" t="s">
        <v>68</v>
      </c>
      <c r="S444" s="4">
        <v>4</v>
      </c>
      <c r="T444" s="4">
        <v>4</v>
      </c>
      <c r="U444" s="5" t="s">
        <v>5699</v>
      </c>
      <c r="V444" s="5" t="s">
        <v>5699</v>
      </c>
      <c r="W444" s="5" t="s">
        <v>3869</v>
      </c>
      <c r="X444" s="5" t="s">
        <v>3869</v>
      </c>
      <c r="Y444" s="4">
        <v>134</v>
      </c>
      <c r="Z444" s="4">
        <v>124</v>
      </c>
      <c r="AA444" s="4">
        <v>273</v>
      </c>
      <c r="AB444" s="4">
        <v>1</v>
      </c>
      <c r="AC444" s="4">
        <v>2</v>
      </c>
      <c r="AD444" s="4">
        <v>10</v>
      </c>
      <c r="AE444" s="4">
        <v>16</v>
      </c>
      <c r="AF444" s="4">
        <v>1</v>
      </c>
      <c r="AG444" s="4">
        <v>2</v>
      </c>
      <c r="AH444" s="4">
        <v>2</v>
      </c>
      <c r="AI444" s="4">
        <v>5</v>
      </c>
      <c r="AJ444" s="4">
        <v>7</v>
      </c>
      <c r="AK444" s="4">
        <v>11</v>
      </c>
      <c r="AL444" s="4">
        <v>0</v>
      </c>
      <c r="AM444" s="4">
        <v>0</v>
      </c>
      <c r="AN444" s="4">
        <v>0</v>
      </c>
      <c r="AO444" s="4">
        <v>0</v>
      </c>
      <c r="AP444" s="3" t="s">
        <v>58</v>
      </c>
      <c r="AQ444" s="3" t="s">
        <v>58</v>
      </c>
      <c r="AS444" s="6" t="str">
        <f>HYPERLINK("https://creighton-primo.hosted.exlibrisgroup.com/primo-explore/search?tab=default_tab&amp;search_scope=EVERYTHING&amp;vid=01CRU&amp;lang=en_US&amp;offset=0&amp;query=any,contains,991004532449702656","Catalog Record")</f>
        <v>Catalog Record</v>
      </c>
      <c r="AT444" s="6" t="str">
        <f>HYPERLINK("http://www.worldcat.org/oclc/3855566","WorldCat Record")</f>
        <v>WorldCat Record</v>
      </c>
      <c r="AU444" s="3" t="s">
        <v>5700</v>
      </c>
      <c r="AV444" s="3" t="s">
        <v>5701</v>
      </c>
      <c r="AW444" s="3" t="s">
        <v>5702</v>
      </c>
      <c r="AX444" s="3" t="s">
        <v>5702</v>
      </c>
      <c r="AY444" s="3" t="s">
        <v>5703</v>
      </c>
      <c r="AZ444" s="3" t="s">
        <v>75</v>
      </c>
      <c r="BB444" s="3" t="s">
        <v>5704</v>
      </c>
      <c r="BC444" s="3" t="s">
        <v>5705</v>
      </c>
      <c r="BD444" s="3" t="s">
        <v>5706</v>
      </c>
    </row>
    <row r="445" spans="1:56" ht="39" customHeight="1" x14ac:dyDescent="0.25">
      <c r="A445" s="7" t="s">
        <v>58</v>
      </c>
      <c r="B445" s="2" t="s">
        <v>5707</v>
      </c>
      <c r="C445" s="2" t="s">
        <v>5708</v>
      </c>
      <c r="D445" s="2" t="s">
        <v>5709</v>
      </c>
      <c r="F445" s="3" t="s">
        <v>58</v>
      </c>
      <c r="G445" s="3" t="s">
        <v>59</v>
      </c>
      <c r="H445" s="3" t="s">
        <v>58</v>
      </c>
      <c r="I445" s="3" t="s">
        <v>58</v>
      </c>
      <c r="J445" s="3" t="s">
        <v>60</v>
      </c>
      <c r="L445" s="2" t="s">
        <v>5710</v>
      </c>
      <c r="M445" s="3" t="s">
        <v>5711</v>
      </c>
      <c r="O445" s="3" t="s">
        <v>65</v>
      </c>
      <c r="P445" s="3" t="s">
        <v>5412</v>
      </c>
      <c r="R445" s="3" t="s">
        <v>68</v>
      </c>
      <c r="S445" s="4">
        <v>2</v>
      </c>
      <c r="T445" s="4">
        <v>2</v>
      </c>
      <c r="U445" s="5" t="s">
        <v>5712</v>
      </c>
      <c r="V445" s="5" t="s">
        <v>5712</v>
      </c>
      <c r="W445" s="5" t="s">
        <v>3869</v>
      </c>
      <c r="X445" s="5" t="s">
        <v>3869</v>
      </c>
      <c r="Y445" s="4">
        <v>16</v>
      </c>
      <c r="Z445" s="4">
        <v>7</v>
      </c>
      <c r="AA445" s="4">
        <v>39</v>
      </c>
      <c r="AB445" s="4">
        <v>1</v>
      </c>
      <c r="AC445" s="4">
        <v>1</v>
      </c>
      <c r="AD445" s="4">
        <v>0</v>
      </c>
      <c r="AE445" s="4">
        <v>4</v>
      </c>
      <c r="AF445" s="4">
        <v>0</v>
      </c>
      <c r="AG445" s="4">
        <v>0</v>
      </c>
      <c r="AH445" s="4">
        <v>0</v>
      </c>
      <c r="AI445" s="4">
        <v>1</v>
      </c>
      <c r="AJ445" s="4">
        <v>0</v>
      </c>
      <c r="AK445" s="4">
        <v>3</v>
      </c>
      <c r="AL445" s="4">
        <v>0</v>
      </c>
      <c r="AM445" s="4">
        <v>0</v>
      </c>
      <c r="AN445" s="4">
        <v>0</v>
      </c>
      <c r="AO445" s="4">
        <v>0</v>
      </c>
      <c r="AP445" s="3" t="s">
        <v>58</v>
      </c>
      <c r="AQ445" s="3" t="s">
        <v>58</v>
      </c>
      <c r="AS445" s="6" t="str">
        <f>HYPERLINK("https://creighton-primo.hosted.exlibrisgroup.com/primo-explore/search?tab=default_tab&amp;search_scope=EVERYTHING&amp;vid=01CRU&amp;lang=en_US&amp;offset=0&amp;query=any,contains,991005084979702656","Catalog Record")</f>
        <v>Catalog Record</v>
      </c>
      <c r="AT445" s="6" t="str">
        <f>HYPERLINK("http://www.worldcat.org/oclc/977148240","WorldCat Record")</f>
        <v>WorldCat Record</v>
      </c>
      <c r="AU445" s="3" t="s">
        <v>5713</v>
      </c>
      <c r="AV445" s="3" t="s">
        <v>5714</v>
      </c>
      <c r="AW445" s="3" t="s">
        <v>5715</v>
      </c>
      <c r="AX445" s="3" t="s">
        <v>5715</v>
      </c>
      <c r="AY445" s="3" t="s">
        <v>5716</v>
      </c>
      <c r="AZ445" s="3" t="s">
        <v>75</v>
      </c>
      <c r="BC445" s="3" t="s">
        <v>5717</v>
      </c>
      <c r="BD445" s="3" t="s">
        <v>5718</v>
      </c>
    </row>
    <row r="446" spans="1:56" ht="39" customHeight="1" x14ac:dyDescent="0.25">
      <c r="A446" s="7" t="s">
        <v>58</v>
      </c>
      <c r="B446" s="2" t="s">
        <v>5719</v>
      </c>
      <c r="C446" s="2" t="s">
        <v>5720</v>
      </c>
      <c r="D446" s="2" t="s">
        <v>5721</v>
      </c>
      <c r="F446" s="3" t="s">
        <v>58</v>
      </c>
      <c r="G446" s="3" t="s">
        <v>59</v>
      </c>
      <c r="H446" s="3" t="s">
        <v>58</v>
      </c>
      <c r="I446" s="3" t="s">
        <v>58</v>
      </c>
      <c r="J446" s="3" t="s">
        <v>60</v>
      </c>
      <c r="L446" s="2" t="s">
        <v>2571</v>
      </c>
      <c r="M446" s="3" t="s">
        <v>229</v>
      </c>
      <c r="O446" s="3" t="s">
        <v>65</v>
      </c>
      <c r="P446" s="3" t="s">
        <v>186</v>
      </c>
      <c r="R446" s="3" t="s">
        <v>68</v>
      </c>
      <c r="S446" s="4">
        <v>6</v>
      </c>
      <c r="T446" s="4">
        <v>6</v>
      </c>
      <c r="U446" s="5" t="s">
        <v>5722</v>
      </c>
      <c r="V446" s="5" t="s">
        <v>5722</v>
      </c>
      <c r="W446" s="5" t="s">
        <v>3869</v>
      </c>
      <c r="X446" s="5" t="s">
        <v>3869</v>
      </c>
      <c r="Y446" s="4">
        <v>277</v>
      </c>
      <c r="Z446" s="4">
        <v>218</v>
      </c>
      <c r="AA446" s="4">
        <v>222</v>
      </c>
      <c r="AB446" s="4">
        <v>3</v>
      </c>
      <c r="AC446" s="4">
        <v>3</v>
      </c>
      <c r="AD446" s="4">
        <v>17</v>
      </c>
      <c r="AE446" s="4">
        <v>17</v>
      </c>
      <c r="AF446" s="4">
        <v>4</v>
      </c>
      <c r="AG446" s="4">
        <v>4</v>
      </c>
      <c r="AH446" s="4">
        <v>4</v>
      </c>
      <c r="AI446" s="4">
        <v>4</v>
      </c>
      <c r="AJ446" s="4">
        <v>12</v>
      </c>
      <c r="AK446" s="4">
        <v>12</v>
      </c>
      <c r="AL446" s="4">
        <v>1</v>
      </c>
      <c r="AM446" s="4">
        <v>1</v>
      </c>
      <c r="AN446" s="4">
        <v>0</v>
      </c>
      <c r="AO446" s="4">
        <v>0</v>
      </c>
      <c r="AP446" s="3" t="s">
        <v>58</v>
      </c>
      <c r="AQ446" s="3" t="s">
        <v>132</v>
      </c>
      <c r="AR446" s="6" t="str">
        <f>HYPERLINK("http://catalog.hathitrust.org/Record/001818443","HathiTrust Record")</f>
        <v>HathiTrust Record</v>
      </c>
      <c r="AS446" s="6" t="str">
        <f>HYPERLINK("https://creighton-primo.hosted.exlibrisgroup.com/primo-explore/search?tab=default_tab&amp;search_scope=EVERYTHING&amp;vid=01CRU&amp;lang=en_US&amp;offset=0&amp;query=any,contains,991001471589702656","Catalog Record")</f>
        <v>Catalog Record</v>
      </c>
      <c r="AT446" s="6" t="str">
        <f>HYPERLINK("http://www.worldcat.org/oclc/19553621","WorldCat Record")</f>
        <v>WorldCat Record</v>
      </c>
      <c r="AU446" s="3" t="s">
        <v>5723</v>
      </c>
      <c r="AV446" s="3" t="s">
        <v>5724</v>
      </c>
      <c r="AW446" s="3" t="s">
        <v>5725</v>
      </c>
      <c r="AX446" s="3" t="s">
        <v>5725</v>
      </c>
      <c r="AY446" s="3" t="s">
        <v>5726</v>
      </c>
      <c r="AZ446" s="3" t="s">
        <v>75</v>
      </c>
      <c r="BB446" s="3" t="s">
        <v>5727</v>
      </c>
      <c r="BC446" s="3" t="s">
        <v>5728</v>
      </c>
      <c r="BD446" s="3" t="s">
        <v>5729</v>
      </c>
    </row>
    <row r="447" spans="1:56" ht="39" customHeight="1" x14ac:dyDescent="0.25">
      <c r="A447" s="7" t="s">
        <v>58</v>
      </c>
      <c r="B447" s="2" t="s">
        <v>5730</v>
      </c>
      <c r="C447" s="2" t="s">
        <v>5731</v>
      </c>
      <c r="D447" s="2" t="s">
        <v>5732</v>
      </c>
      <c r="F447" s="3" t="s">
        <v>58</v>
      </c>
      <c r="G447" s="3" t="s">
        <v>59</v>
      </c>
      <c r="H447" s="3" t="s">
        <v>58</v>
      </c>
      <c r="I447" s="3" t="s">
        <v>58</v>
      </c>
      <c r="J447" s="3" t="s">
        <v>60</v>
      </c>
      <c r="K447" s="2" t="s">
        <v>5733</v>
      </c>
      <c r="L447" s="2" t="s">
        <v>5734</v>
      </c>
      <c r="M447" s="3" t="s">
        <v>781</v>
      </c>
      <c r="O447" s="3" t="s">
        <v>65</v>
      </c>
      <c r="P447" s="3" t="s">
        <v>66</v>
      </c>
      <c r="R447" s="3" t="s">
        <v>68</v>
      </c>
      <c r="S447" s="4">
        <v>2</v>
      </c>
      <c r="T447" s="4">
        <v>2</v>
      </c>
      <c r="U447" s="5" t="s">
        <v>5735</v>
      </c>
      <c r="V447" s="5" t="s">
        <v>5735</v>
      </c>
      <c r="W447" s="5" t="s">
        <v>2494</v>
      </c>
      <c r="X447" s="5" t="s">
        <v>2494</v>
      </c>
      <c r="Y447" s="4">
        <v>432</v>
      </c>
      <c r="Z447" s="4">
        <v>314</v>
      </c>
      <c r="AA447" s="4">
        <v>486</v>
      </c>
      <c r="AB447" s="4">
        <v>4</v>
      </c>
      <c r="AC447" s="4">
        <v>6</v>
      </c>
      <c r="AD447" s="4">
        <v>22</v>
      </c>
      <c r="AE447" s="4">
        <v>33</v>
      </c>
      <c r="AF447" s="4">
        <v>6</v>
      </c>
      <c r="AG447" s="4">
        <v>11</v>
      </c>
      <c r="AH447" s="4">
        <v>7</v>
      </c>
      <c r="AI447" s="4">
        <v>9</v>
      </c>
      <c r="AJ447" s="4">
        <v>13</v>
      </c>
      <c r="AK447" s="4">
        <v>17</v>
      </c>
      <c r="AL447" s="4">
        <v>2</v>
      </c>
      <c r="AM447" s="4">
        <v>4</v>
      </c>
      <c r="AN447" s="4">
        <v>0</v>
      </c>
      <c r="AO447" s="4">
        <v>0</v>
      </c>
      <c r="AP447" s="3" t="s">
        <v>58</v>
      </c>
      <c r="AQ447" s="3" t="s">
        <v>58</v>
      </c>
      <c r="AS447" s="6" t="str">
        <f>HYPERLINK("https://creighton-primo.hosted.exlibrisgroup.com/primo-explore/search?tab=default_tab&amp;search_scope=EVERYTHING&amp;vid=01CRU&amp;lang=en_US&amp;offset=0&amp;query=any,contains,991000722939702656","Catalog Record")</f>
        <v>Catalog Record</v>
      </c>
      <c r="AT447" s="6" t="str">
        <f>HYPERLINK("http://www.worldcat.org/oclc/12669295","WorldCat Record")</f>
        <v>WorldCat Record</v>
      </c>
      <c r="AU447" s="3" t="s">
        <v>5736</v>
      </c>
      <c r="AV447" s="3" t="s">
        <v>5737</v>
      </c>
      <c r="AW447" s="3" t="s">
        <v>5738</v>
      </c>
      <c r="AX447" s="3" t="s">
        <v>5738</v>
      </c>
      <c r="AY447" s="3" t="s">
        <v>5739</v>
      </c>
      <c r="AZ447" s="3" t="s">
        <v>75</v>
      </c>
      <c r="BB447" s="3" t="s">
        <v>5740</v>
      </c>
      <c r="BC447" s="3" t="s">
        <v>5741</v>
      </c>
      <c r="BD447" s="3" t="s">
        <v>5742</v>
      </c>
    </row>
    <row r="448" spans="1:56" ht="39" customHeight="1" x14ac:dyDescent="0.25">
      <c r="A448" s="7" t="s">
        <v>58</v>
      </c>
      <c r="B448" s="2" t="s">
        <v>5743</v>
      </c>
      <c r="C448" s="2" t="s">
        <v>5744</v>
      </c>
      <c r="D448" s="2" t="s">
        <v>5745</v>
      </c>
      <c r="F448" s="3" t="s">
        <v>58</v>
      </c>
      <c r="G448" s="3" t="s">
        <v>59</v>
      </c>
      <c r="H448" s="3" t="s">
        <v>58</v>
      </c>
      <c r="I448" s="3" t="s">
        <v>58</v>
      </c>
      <c r="J448" s="3" t="s">
        <v>60</v>
      </c>
      <c r="K448" s="2" t="s">
        <v>5746</v>
      </c>
      <c r="L448" s="2" t="s">
        <v>5747</v>
      </c>
      <c r="M448" s="3" t="s">
        <v>128</v>
      </c>
      <c r="O448" s="3" t="s">
        <v>65</v>
      </c>
      <c r="P448" s="3" t="s">
        <v>4425</v>
      </c>
      <c r="R448" s="3" t="s">
        <v>68</v>
      </c>
      <c r="S448" s="4">
        <v>7</v>
      </c>
      <c r="T448" s="4">
        <v>7</v>
      </c>
      <c r="U448" s="5" t="s">
        <v>4282</v>
      </c>
      <c r="V448" s="5" t="s">
        <v>4282</v>
      </c>
      <c r="W448" s="5" t="s">
        <v>5748</v>
      </c>
      <c r="X448" s="5" t="s">
        <v>5748</v>
      </c>
      <c r="Y448" s="4">
        <v>417</v>
      </c>
      <c r="Z448" s="4">
        <v>323</v>
      </c>
      <c r="AA448" s="4">
        <v>455</v>
      </c>
      <c r="AB448" s="4">
        <v>3</v>
      </c>
      <c r="AC448" s="4">
        <v>4</v>
      </c>
      <c r="AD448" s="4">
        <v>17</v>
      </c>
      <c r="AE448" s="4">
        <v>26</v>
      </c>
      <c r="AF448" s="4">
        <v>6</v>
      </c>
      <c r="AG448" s="4">
        <v>12</v>
      </c>
      <c r="AH448" s="4">
        <v>5</v>
      </c>
      <c r="AI448" s="4">
        <v>8</v>
      </c>
      <c r="AJ448" s="4">
        <v>8</v>
      </c>
      <c r="AK448" s="4">
        <v>9</v>
      </c>
      <c r="AL448" s="4">
        <v>2</v>
      </c>
      <c r="AM448" s="4">
        <v>3</v>
      </c>
      <c r="AN448" s="4">
        <v>0</v>
      </c>
      <c r="AO448" s="4">
        <v>0</v>
      </c>
      <c r="AP448" s="3" t="s">
        <v>58</v>
      </c>
      <c r="AQ448" s="3" t="s">
        <v>132</v>
      </c>
      <c r="AR448" s="6" t="str">
        <f>HYPERLINK("http://catalog.hathitrust.org/Record/000211398","HathiTrust Record")</f>
        <v>HathiTrust Record</v>
      </c>
      <c r="AS448" s="6" t="str">
        <f>HYPERLINK("https://creighton-primo.hosted.exlibrisgroup.com/primo-explore/search?tab=default_tab&amp;search_scope=EVERYTHING&amp;vid=01CRU&amp;lang=en_US&amp;offset=0&amp;query=any,contains,991004259819702656","Catalog Record")</f>
        <v>Catalog Record</v>
      </c>
      <c r="AT448" s="6" t="str">
        <f>HYPERLINK("http://www.worldcat.org/oclc/2837490","WorldCat Record")</f>
        <v>WorldCat Record</v>
      </c>
      <c r="AU448" s="3" t="s">
        <v>5749</v>
      </c>
      <c r="AV448" s="3" t="s">
        <v>5750</v>
      </c>
      <c r="AW448" s="3" t="s">
        <v>5751</v>
      </c>
      <c r="AX448" s="3" t="s">
        <v>5751</v>
      </c>
      <c r="AY448" s="3" t="s">
        <v>5752</v>
      </c>
      <c r="AZ448" s="3" t="s">
        <v>75</v>
      </c>
      <c r="BB448" s="3" t="s">
        <v>5753</v>
      </c>
      <c r="BC448" s="3" t="s">
        <v>5754</v>
      </c>
      <c r="BD448" s="3" t="s">
        <v>5755</v>
      </c>
    </row>
    <row r="449" spans="1:56" ht="39" customHeight="1" x14ac:dyDescent="0.25">
      <c r="A449" s="7" t="s">
        <v>58</v>
      </c>
      <c r="B449" s="2" t="s">
        <v>5756</v>
      </c>
      <c r="C449" s="2" t="s">
        <v>5757</v>
      </c>
      <c r="D449" s="2" t="s">
        <v>5758</v>
      </c>
      <c r="F449" s="3" t="s">
        <v>58</v>
      </c>
      <c r="G449" s="3" t="s">
        <v>59</v>
      </c>
      <c r="H449" s="3" t="s">
        <v>58</v>
      </c>
      <c r="I449" s="3" t="s">
        <v>58</v>
      </c>
      <c r="J449" s="3" t="s">
        <v>60</v>
      </c>
      <c r="K449" s="2" t="s">
        <v>5759</v>
      </c>
      <c r="L449" s="2" t="s">
        <v>5760</v>
      </c>
      <c r="M449" s="3" t="s">
        <v>415</v>
      </c>
      <c r="O449" s="3" t="s">
        <v>65</v>
      </c>
      <c r="P449" s="3" t="s">
        <v>954</v>
      </c>
      <c r="R449" s="3" t="s">
        <v>68</v>
      </c>
      <c r="S449" s="4">
        <v>1</v>
      </c>
      <c r="T449" s="4">
        <v>1</v>
      </c>
      <c r="U449" s="5" t="s">
        <v>5761</v>
      </c>
      <c r="V449" s="5" t="s">
        <v>5761</v>
      </c>
      <c r="W449" s="5" t="s">
        <v>5748</v>
      </c>
      <c r="X449" s="5" t="s">
        <v>5748</v>
      </c>
      <c r="Y449" s="4">
        <v>153</v>
      </c>
      <c r="Z449" s="4">
        <v>134</v>
      </c>
      <c r="AA449" s="4">
        <v>347</v>
      </c>
      <c r="AB449" s="4">
        <v>1</v>
      </c>
      <c r="AC449" s="4">
        <v>2</v>
      </c>
      <c r="AD449" s="4">
        <v>6</v>
      </c>
      <c r="AE449" s="4">
        <v>20</v>
      </c>
      <c r="AF449" s="4">
        <v>3</v>
      </c>
      <c r="AG449" s="4">
        <v>8</v>
      </c>
      <c r="AH449" s="4">
        <v>3</v>
      </c>
      <c r="AI449" s="4">
        <v>6</v>
      </c>
      <c r="AJ449" s="4">
        <v>2</v>
      </c>
      <c r="AK449" s="4">
        <v>10</v>
      </c>
      <c r="AL449" s="4">
        <v>0</v>
      </c>
      <c r="AM449" s="4">
        <v>1</v>
      </c>
      <c r="AN449" s="4">
        <v>0</v>
      </c>
      <c r="AO449" s="4">
        <v>0</v>
      </c>
      <c r="AP449" s="3" t="s">
        <v>58</v>
      </c>
      <c r="AQ449" s="3" t="s">
        <v>132</v>
      </c>
      <c r="AR449" s="6" t="str">
        <f>HYPERLINK("http://catalog.hathitrust.org/Record/000403741","HathiTrust Record")</f>
        <v>HathiTrust Record</v>
      </c>
      <c r="AS449" s="6" t="str">
        <f>HYPERLINK("https://creighton-primo.hosted.exlibrisgroup.com/primo-explore/search?tab=default_tab&amp;search_scope=EVERYTHING&amp;vid=01CRU&amp;lang=en_US&amp;offset=0&amp;query=any,contains,991002643719702656","Catalog Record")</f>
        <v>Catalog Record</v>
      </c>
      <c r="AT449" s="6" t="str">
        <f>HYPERLINK("http://www.worldcat.org/oclc/385098","WorldCat Record")</f>
        <v>WorldCat Record</v>
      </c>
      <c r="AU449" s="3" t="s">
        <v>5762</v>
      </c>
      <c r="AV449" s="3" t="s">
        <v>5763</v>
      </c>
      <c r="AW449" s="3" t="s">
        <v>5764</v>
      </c>
      <c r="AX449" s="3" t="s">
        <v>5764</v>
      </c>
      <c r="AY449" s="3" t="s">
        <v>5765</v>
      </c>
      <c r="AZ449" s="3" t="s">
        <v>75</v>
      </c>
      <c r="BC449" s="3" t="s">
        <v>5766</v>
      </c>
      <c r="BD449" s="3" t="s">
        <v>5767</v>
      </c>
    </row>
    <row r="450" spans="1:56" ht="39" customHeight="1" x14ac:dyDescent="0.25">
      <c r="A450" s="7" t="s">
        <v>58</v>
      </c>
      <c r="B450" s="2" t="s">
        <v>5768</v>
      </c>
      <c r="C450" s="2" t="s">
        <v>5769</v>
      </c>
      <c r="D450" s="2" t="s">
        <v>5770</v>
      </c>
      <c r="F450" s="3" t="s">
        <v>58</v>
      </c>
      <c r="G450" s="3" t="s">
        <v>59</v>
      </c>
      <c r="H450" s="3" t="s">
        <v>58</v>
      </c>
      <c r="I450" s="3" t="s">
        <v>58</v>
      </c>
      <c r="J450" s="3" t="s">
        <v>60</v>
      </c>
      <c r="K450" s="2" t="s">
        <v>5771</v>
      </c>
      <c r="L450" s="2" t="s">
        <v>5772</v>
      </c>
      <c r="M450" s="3" t="s">
        <v>966</v>
      </c>
      <c r="O450" s="3" t="s">
        <v>65</v>
      </c>
      <c r="P450" s="3" t="s">
        <v>66</v>
      </c>
      <c r="R450" s="3" t="s">
        <v>68</v>
      </c>
      <c r="S450" s="4">
        <v>2</v>
      </c>
      <c r="T450" s="4">
        <v>2</v>
      </c>
      <c r="U450" s="5" t="s">
        <v>5773</v>
      </c>
      <c r="V450" s="5" t="s">
        <v>5773</v>
      </c>
      <c r="W450" s="5" t="s">
        <v>5609</v>
      </c>
      <c r="X450" s="5" t="s">
        <v>5609</v>
      </c>
      <c r="Y450" s="4">
        <v>399</v>
      </c>
      <c r="Z450" s="4">
        <v>281</v>
      </c>
      <c r="AA450" s="4">
        <v>312</v>
      </c>
      <c r="AB450" s="4">
        <v>2</v>
      </c>
      <c r="AC450" s="4">
        <v>2</v>
      </c>
      <c r="AD450" s="4">
        <v>21</v>
      </c>
      <c r="AE450" s="4">
        <v>22</v>
      </c>
      <c r="AF450" s="4">
        <v>8</v>
      </c>
      <c r="AG450" s="4">
        <v>8</v>
      </c>
      <c r="AH450" s="4">
        <v>4</v>
      </c>
      <c r="AI450" s="4">
        <v>5</v>
      </c>
      <c r="AJ450" s="4">
        <v>14</v>
      </c>
      <c r="AK450" s="4">
        <v>14</v>
      </c>
      <c r="AL450" s="4">
        <v>1</v>
      </c>
      <c r="AM450" s="4">
        <v>1</v>
      </c>
      <c r="AN450" s="4">
        <v>0</v>
      </c>
      <c r="AO450" s="4">
        <v>0</v>
      </c>
      <c r="AP450" s="3" t="s">
        <v>58</v>
      </c>
      <c r="AQ450" s="3" t="s">
        <v>58</v>
      </c>
      <c r="AS450" s="6" t="str">
        <f>HYPERLINK("https://creighton-primo.hosted.exlibrisgroup.com/primo-explore/search?tab=default_tab&amp;search_scope=EVERYTHING&amp;vid=01CRU&amp;lang=en_US&amp;offset=0&amp;query=any,contains,991002107909702656","Catalog Record")</f>
        <v>Catalog Record</v>
      </c>
      <c r="AT450" s="6" t="str">
        <f>HYPERLINK("http://www.worldcat.org/oclc/27034364","WorldCat Record")</f>
        <v>WorldCat Record</v>
      </c>
      <c r="AU450" s="3" t="s">
        <v>5774</v>
      </c>
      <c r="AV450" s="3" t="s">
        <v>5775</v>
      </c>
      <c r="AW450" s="3" t="s">
        <v>5776</v>
      </c>
      <c r="AX450" s="3" t="s">
        <v>5776</v>
      </c>
      <c r="AY450" s="3" t="s">
        <v>5777</v>
      </c>
      <c r="AZ450" s="3" t="s">
        <v>75</v>
      </c>
      <c r="BB450" s="3" t="s">
        <v>5778</v>
      </c>
      <c r="BC450" s="3" t="s">
        <v>5779</v>
      </c>
      <c r="BD450" s="3" t="s">
        <v>5780</v>
      </c>
    </row>
    <row r="451" spans="1:56" ht="39" customHeight="1" x14ac:dyDescent="0.25">
      <c r="A451" s="7" t="s">
        <v>58</v>
      </c>
      <c r="B451" s="2" t="s">
        <v>5781</v>
      </c>
      <c r="C451" s="2" t="s">
        <v>5782</v>
      </c>
      <c r="D451" s="2" t="s">
        <v>5783</v>
      </c>
      <c r="F451" s="3" t="s">
        <v>58</v>
      </c>
      <c r="G451" s="3" t="s">
        <v>59</v>
      </c>
      <c r="H451" s="3" t="s">
        <v>58</v>
      </c>
      <c r="I451" s="3" t="s">
        <v>58</v>
      </c>
      <c r="J451" s="3" t="s">
        <v>60</v>
      </c>
      <c r="K451" s="2" t="s">
        <v>5784</v>
      </c>
      <c r="L451" s="2" t="s">
        <v>5785</v>
      </c>
      <c r="M451" s="3" t="s">
        <v>439</v>
      </c>
      <c r="O451" s="3" t="s">
        <v>65</v>
      </c>
      <c r="P451" s="3" t="s">
        <v>346</v>
      </c>
      <c r="Q451" s="2" t="s">
        <v>5786</v>
      </c>
      <c r="R451" s="3" t="s">
        <v>68</v>
      </c>
      <c r="S451" s="4">
        <v>1</v>
      </c>
      <c r="T451" s="4">
        <v>1</v>
      </c>
      <c r="U451" s="5" t="s">
        <v>5787</v>
      </c>
      <c r="V451" s="5" t="s">
        <v>5787</v>
      </c>
      <c r="W451" s="5" t="s">
        <v>607</v>
      </c>
      <c r="X451" s="5" t="s">
        <v>607</v>
      </c>
      <c r="Y451" s="4">
        <v>287</v>
      </c>
      <c r="Z451" s="4">
        <v>246</v>
      </c>
      <c r="AA451" s="4">
        <v>246</v>
      </c>
      <c r="AB451" s="4">
        <v>1</v>
      </c>
      <c r="AC451" s="4">
        <v>1</v>
      </c>
      <c r="AD451" s="4">
        <v>12</v>
      </c>
      <c r="AE451" s="4">
        <v>12</v>
      </c>
      <c r="AF451" s="4">
        <v>5</v>
      </c>
      <c r="AG451" s="4">
        <v>5</v>
      </c>
      <c r="AH451" s="4">
        <v>2</v>
      </c>
      <c r="AI451" s="4">
        <v>2</v>
      </c>
      <c r="AJ451" s="4">
        <v>6</v>
      </c>
      <c r="AK451" s="4">
        <v>6</v>
      </c>
      <c r="AL451" s="4">
        <v>0</v>
      </c>
      <c r="AM451" s="4">
        <v>0</v>
      </c>
      <c r="AN451" s="4">
        <v>0</v>
      </c>
      <c r="AO451" s="4">
        <v>0</v>
      </c>
      <c r="AP451" s="3" t="s">
        <v>58</v>
      </c>
      <c r="AQ451" s="3" t="s">
        <v>58</v>
      </c>
      <c r="AS451" s="6" t="str">
        <f>HYPERLINK("https://creighton-primo.hosted.exlibrisgroup.com/primo-explore/search?tab=default_tab&amp;search_scope=EVERYTHING&amp;vid=01CRU&amp;lang=en_US&amp;offset=0&amp;query=any,contains,991004960919702656","Catalog Record")</f>
        <v>Catalog Record</v>
      </c>
      <c r="AT451" s="6" t="str">
        <f>HYPERLINK("http://www.worldcat.org/oclc/6305005","WorldCat Record")</f>
        <v>WorldCat Record</v>
      </c>
      <c r="AU451" s="3" t="s">
        <v>5788</v>
      </c>
      <c r="AV451" s="3" t="s">
        <v>5789</v>
      </c>
      <c r="AW451" s="3" t="s">
        <v>5790</v>
      </c>
      <c r="AX451" s="3" t="s">
        <v>5790</v>
      </c>
      <c r="AY451" s="3" t="s">
        <v>5791</v>
      </c>
      <c r="AZ451" s="3" t="s">
        <v>75</v>
      </c>
      <c r="BB451" s="3" t="s">
        <v>5792</v>
      </c>
      <c r="BC451" s="3" t="s">
        <v>5793</v>
      </c>
      <c r="BD451" s="3" t="s">
        <v>5794</v>
      </c>
    </row>
    <row r="452" spans="1:56" ht="39" customHeight="1" x14ac:dyDescent="0.25">
      <c r="A452" s="7" t="s">
        <v>58</v>
      </c>
      <c r="B452" s="2" t="s">
        <v>5795</v>
      </c>
      <c r="C452" s="2" t="s">
        <v>5796</v>
      </c>
      <c r="D452" s="2" t="s">
        <v>5797</v>
      </c>
      <c r="F452" s="3" t="s">
        <v>58</v>
      </c>
      <c r="G452" s="3" t="s">
        <v>59</v>
      </c>
      <c r="H452" s="3" t="s">
        <v>58</v>
      </c>
      <c r="I452" s="3" t="s">
        <v>58</v>
      </c>
      <c r="J452" s="3" t="s">
        <v>60</v>
      </c>
      <c r="K452" s="2" t="s">
        <v>5798</v>
      </c>
      <c r="L452" s="2" t="s">
        <v>5799</v>
      </c>
      <c r="M452" s="3" t="s">
        <v>439</v>
      </c>
      <c r="O452" s="3" t="s">
        <v>65</v>
      </c>
      <c r="P452" s="3" t="s">
        <v>346</v>
      </c>
      <c r="Q452" s="2" t="s">
        <v>5786</v>
      </c>
      <c r="R452" s="3" t="s">
        <v>68</v>
      </c>
      <c r="S452" s="4">
        <v>2</v>
      </c>
      <c r="T452" s="4">
        <v>2</v>
      </c>
      <c r="U452" s="5" t="s">
        <v>5800</v>
      </c>
      <c r="V452" s="5" t="s">
        <v>5800</v>
      </c>
      <c r="W452" s="5" t="s">
        <v>5748</v>
      </c>
      <c r="X452" s="5" t="s">
        <v>5748</v>
      </c>
      <c r="Y452" s="4">
        <v>307</v>
      </c>
      <c r="Z452" s="4">
        <v>255</v>
      </c>
      <c r="AA452" s="4">
        <v>256</v>
      </c>
      <c r="AB452" s="4">
        <v>3</v>
      </c>
      <c r="AC452" s="4">
        <v>3</v>
      </c>
      <c r="AD452" s="4">
        <v>13</v>
      </c>
      <c r="AE452" s="4">
        <v>13</v>
      </c>
      <c r="AF452" s="4">
        <v>6</v>
      </c>
      <c r="AG452" s="4">
        <v>6</v>
      </c>
      <c r="AH452" s="4">
        <v>2</v>
      </c>
      <c r="AI452" s="4">
        <v>2</v>
      </c>
      <c r="AJ452" s="4">
        <v>6</v>
      </c>
      <c r="AK452" s="4">
        <v>6</v>
      </c>
      <c r="AL452" s="4">
        <v>1</v>
      </c>
      <c r="AM452" s="4">
        <v>1</v>
      </c>
      <c r="AN452" s="4">
        <v>0</v>
      </c>
      <c r="AO452" s="4">
        <v>0</v>
      </c>
      <c r="AP452" s="3" t="s">
        <v>58</v>
      </c>
      <c r="AQ452" s="3" t="s">
        <v>58</v>
      </c>
      <c r="AS452" s="6" t="str">
        <f>HYPERLINK("https://creighton-primo.hosted.exlibrisgroup.com/primo-explore/search?tab=default_tab&amp;search_scope=EVERYTHING&amp;vid=01CRU&amp;lang=en_US&amp;offset=0&amp;query=any,contains,991004970539702656","Catalog Record")</f>
        <v>Catalog Record</v>
      </c>
      <c r="AT452" s="6" t="str">
        <f>HYPERLINK("http://www.worldcat.org/oclc/6357447","WorldCat Record")</f>
        <v>WorldCat Record</v>
      </c>
      <c r="AU452" s="3" t="s">
        <v>5801</v>
      </c>
      <c r="AV452" s="3" t="s">
        <v>5802</v>
      </c>
      <c r="AW452" s="3" t="s">
        <v>5803</v>
      </c>
      <c r="AX452" s="3" t="s">
        <v>5803</v>
      </c>
      <c r="AY452" s="3" t="s">
        <v>5804</v>
      </c>
      <c r="AZ452" s="3" t="s">
        <v>75</v>
      </c>
      <c r="BB452" s="3" t="s">
        <v>5805</v>
      </c>
      <c r="BC452" s="3" t="s">
        <v>5806</v>
      </c>
      <c r="BD452" s="3" t="s">
        <v>5807</v>
      </c>
    </row>
    <row r="453" spans="1:56" ht="39" customHeight="1" x14ac:dyDescent="0.25">
      <c r="A453" s="7" t="s">
        <v>58</v>
      </c>
      <c r="B453" s="2" t="s">
        <v>5808</v>
      </c>
      <c r="C453" s="2" t="s">
        <v>5809</v>
      </c>
      <c r="D453" s="2" t="s">
        <v>5810</v>
      </c>
      <c r="F453" s="3" t="s">
        <v>58</v>
      </c>
      <c r="G453" s="3" t="s">
        <v>59</v>
      </c>
      <c r="H453" s="3" t="s">
        <v>58</v>
      </c>
      <c r="I453" s="3" t="s">
        <v>58</v>
      </c>
      <c r="J453" s="3" t="s">
        <v>60</v>
      </c>
      <c r="K453" s="2" t="s">
        <v>5811</v>
      </c>
      <c r="L453" s="2" t="s">
        <v>5812</v>
      </c>
      <c r="M453" s="3" t="s">
        <v>128</v>
      </c>
      <c r="O453" s="3" t="s">
        <v>65</v>
      </c>
      <c r="P453" s="3" t="s">
        <v>477</v>
      </c>
      <c r="R453" s="3" t="s">
        <v>68</v>
      </c>
      <c r="S453" s="4">
        <v>4</v>
      </c>
      <c r="T453" s="4">
        <v>4</v>
      </c>
      <c r="U453" s="5" t="s">
        <v>5813</v>
      </c>
      <c r="V453" s="5" t="s">
        <v>5813</v>
      </c>
      <c r="W453" s="5" t="s">
        <v>5814</v>
      </c>
      <c r="X453" s="5" t="s">
        <v>5814</v>
      </c>
      <c r="Y453" s="4">
        <v>1093</v>
      </c>
      <c r="Z453" s="4">
        <v>995</v>
      </c>
      <c r="AA453" s="4">
        <v>1016</v>
      </c>
      <c r="AB453" s="4">
        <v>9</v>
      </c>
      <c r="AC453" s="4">
        <v>9</v>
      </c>
      <c r="AD453" s="4">
        <v>42</v>
      </c>
      <c r="AE453" s="4">
        <v>44</v>
      </c>
      <c r="AF453" s="4">
        <v>16</v>
      </c>
      <c r="AG453" s="4">
        <v>18</v>
      </c>
      <c r="AH453" s="4">
        <v>8</v>
      </c>
      <c r="AI453" s="4">
        <v>8</v>
      </c>
      <c r="AJ453" s="4">
        <v>23</v>
      </c>
      <c r="AK453" s="4">
        <v>23</v>
      </c>
      <c r="AL453" s="4">
        <v>7</v>
      </c>
      <c r="AM453" s="4">
        <v>7</v>
      </c>
      <c r="AN453" s="4">
        <v>0</v>
      </c>
      <c r="AO453" s="4">
        <v>0</v>
      </c>
      <c r="AP453" s="3" t="s">
        <v>58</v>
      </c>
      <c r="AQ453" s="3" t="s">
        <v>58</v>
      </c>
      <c r="AS453" s="6" t="str">
        <f>HYPERLINK("https://creighton-primo.hosted.exlibrisgroup.com/primo-explore/search?tab=default_tab&amp;search_scope=EVERYTHING&amp;vid=01CRU&amp;lang=en_US&amp;offset=0&amp;query=any,contains,991004263969702656","Catalog Record")</f>
        <v>Catalog Record</v>
      </c>
      <c r="AT453" s="6" t="str">
        <f>HYPERLINK("http://www.worldcat.org/oclc/3204501","WorldCat Record")</f>
        <v>WorldCat Record</v>
      </c>
      <c r="AU453" s="3" t="s">
        <v>5815</v>
      </c>
      <c r="AV453" s="3" t="s">
        <v>5816</v>
      </c>
      <c r="AW453" s="3" t="s">
        <v>5817</v>
      </c>
      <c r="AX453" s="3" t="s">
        <v>5817</v>
      </c>
      <c r="AY453" s="3" t="s">
        <v>5818</v>
      </c>
      <c r="AZ453" s="3" t="s">
        <v>75</v>
      </c>
      <c r="BB453" s="3" t="s">
        <v>5819</v>
      </c>
      <c r="BC453" s="3" t="s">
        <v>5820</v>
      </c>
      <c r="BD453" s="3" t="s">
        <v>5821</v>
      </c>
    </row>
    <row r="454" spans="1:56" ht="39" customHeight="1" x14ac:dyDescent="0.25">
      <c r="A454" s="7" t="s">
        <v>58</v>
      </c>
      <c r="B454" s="2" t="s">
        <v>5822</v>
      </c>
      <c r="C454" s="2" t="s">
        <v>5823</v>
      </c>
      <c r="D454" s="2" t="s">
        <v>5824</v>
      </c>
      <c r="F454" s="3" t="s">
        <v>58</v>
      </c>
      <c r="G454" s="3" t="s">
        <v>59</v>
      </c>
      <c r="H454" s="3" t="s">
        <v>58</v>
      </c>
      <c r="I454" s="3" t="s">
        <v>58</v>
      </c>
      <c r="J454" s="3" t="s">
        <v>60</v>
      </c>
      <c r="K454" s="2" t="s">
        <v>5825</v>
      </c>
      <c r="L454" s="2" t="s">
        <v>5826</v>
      </c>
      <c r="M454" s="3" t="s">
        <v>759</v>
      </c>
      <c r="O454" s="3" t="s">
        <v>65</v>
      </c>
      <c r="P454" s="3" t="s">
        <v>84</v>
      </c>
      <c r="R454" s="3" t="s">
        <v>68</v>
      </c>
      <c r="S454" s="4">
        <v>1</v>
      </c>
      <c r="T454" s="4">
        <v>1</v>
      </c>
      <c r="U454" s="5" t="s">
        <v>1084</v>
      </c>
      <c r="V454" s="5" t="s">
        <v>1084</v>
      </c>
      <c r="W454" s="5" t="s">
        <v>1084</v>
      </c>
      <c r="X454" s="5" t="s">
        <v>1084</v>
      </c>
      <c r="Y454" s="4">
        <v>151</v>
      </c>
      <c r="Z454" s="4">
        <v>134</v>
      </c>
      <c r="AA454" s="4">
        <v>361</v>
      </c>
      <c r="AB454" s="4">
        <v>3</v>
      </c>
      <c r="AC454" s="4">
        <v>6</v>
      </c>
      <c r="AD454" s="4">
        <v>7</v>
      </c>
      <c r="AE454" s="4">
        <v>19</v>
      </c>
      <c r="AF454" s="4">
        <v>3</v>
      </c>
      <c r="AG454" s="4">
        <v>7</v>
      </c>
      <c r="AH454" s="4">
        <v>1</v>
      </c>
      <c r="AI454" s="4">
        <v>2</v>
      </c>
      <c r="AJ454" s="4">
        <v>2</v>
      </c>
      <c r="AK454" s="4">
        <v>10</v>
      </c>
      <c r="AL454" s="4">
        <v>1</v>
      </c>
      <c r="AM454" s="4">
        <v>3</v>
      </c>
      <c r="AN454" s="4">
        <v>0</v>
      </c>
      <c r="AO454" s="4">
        <v>0</v>
      </c>
      <c r="AP454" s="3" t="s">
        <v>58</v>
      </c>
      <c r="AQ454" s="3" t="s">
        <v>58</v>
      </c>
      <c r="AS454" s="6" t="str">
        <f>HYPERLINK("https://creighton-primo.hosted.exlibrisgroup.com/primo-explore/search?tab=default_tab&amp;search_scope=EVERYTHING&amp;vid=01CRU&amp;lang=en_US&amp;offset=0&amp;query=any,contains,991004528769702656","Catalog Record")</f>
        <v>Catalog Record</v>
      </c>
      <c r="AT454" s="6" t="str">
        <f>HYPERLINK("http://www.worldcat.org/oclc/17849370","WorldCat Record")</f>
        <v>WorldCat Record</v>
      </c>
      <c r="AU454" s="3" t="s">
        <v>5827</v>
      </c>
      <c r="AV454" s="3" t="s">
        <v>5828</v>
      </c>
      <c r="AW454" s="3" t="s">
        <v>5829</v>
      </c>
      <c r="AX454" s="3" t="s">
        <v>5829</v>
      </c>
      <c r="AY454" s="3" t="s">
        <v>5830</v>
      </c>
      <c r="AZ454" s="3" t="s">
        <v>75</v>
      </c>
      <c r="BB454" s="3" t="s">
        <v>5831</v>
      </c>
      <c r="BC454" s="3" t="s">
        <v>5832</v>
      </c>
      <c r="BD454" s="3" t="s">
        <v>5833</v>
      </c>
    </row>
    <row r="455" spans="1:56" ht="39" customHeight="1" x14ac:dyDescent="0.25">
      <c r="A455" s="7" t="s">
        <v>58</v>
      </c>
      <c r="B455" s="2" t="s">
        <v>5834</v>
      </c>
      <c r="C455" s="2" t="s">
        <v>5835</v>
      </c>
      <c r="D455" s="2" t="s">
        <v>5836</v>
      </c>
      <c r="F455" s="3" t="s">
        <v>58</v>
      </c>
      <c r="G455" s="3" t="s">
        <v>59</v>
      </c>
      <c r="H455" s="3" t="s">
        <v>58</v>
      </c>
      <c r="I455" s="3" t="s">
        <v>58</v>
      </c>
      <c r="J455" s="3" t="s">
        <v>60</v>
      </c>
      <c r="K455" s="2" t="s">
        <v>5837</v>
      </c>
      <c r="L455" s="2" t="s">
        <v>5838</v>
      </c>
      <c r="M455" s="3" t="s">
        <v>3656</v>
      </c>
      <c r="O455" s="3" t="s">
        <v>65</v>
      </c>
      <c r="P455" s="3" t="s">
        <v>158</v>
      </c>
      <c r="R455" s="3" t="s">
        <v>68</v>
      </c>
      <c r="S455" s="4">
        <v>2</v>
      </c>
      <c r="T455" s="4">
        <v>2</v>
      </c>
      <c r="U455" s="5" t="s">
        <v>5839</v>
      </c>
      <c r="V455" s="5" t="s">
        <v>5839</v>
      </c>
      <c r="W455" s="5" t="s">
        <v>5840</v>
      </c>
      <c r="X455" s="5" t="s">
        <v>5840</v>
      </c>
      <c r="Y455" s="4">
        <v>192</v>
      </c>
      <c r="Z455" s="4">
        <v>150</v>
      </c>
      <c r="AA455" s="4">
        <v>164</v>
      </c>
      <c r="AB455" s="4">
        <v>1</v>
      </c>
      <c r="AC455" s="4">
        <v>2</v>
      </c>
      <c r="AD455" s="4">
        <v>13</v>
      </c>
      <c r="AE455" s="4">
        <v>15</v>
      </c>
      <c r="AF455" s="4">
        <v>5</v>
      </c>
      <c r="AG455" s="4">
        <v>6</v>
      </c>
      <c r="AH455" s="4">
        <v>3</v>
      </c>
      <c r="AI455" s="4">
        <v>4</v>
      </c>
      <c r="AJ455" s="4">
        <v>9</v>
      </c>
      <c r="AK455" s="4">
        <v>9</v>
      </c>
      <c r="AL455" s="4">
        <v>0</v>
      </c>
      <c r="AM455" s="4">
        <v>1</v>
      </c>
      <c r="AN455" s="4">
        <v>0</v>
      </c>
      <c r="AO455" s="4">
        <v>0</v>
      </c>
      <c r="AP455" s="3" t="s">
        <v>58</v>
      </c>
      <c r="AQ455" s="3" t="s">
        <v>58</v>
      </c>
      <c r="AS455" s="6" t="str">
        <f>HYPERLINK("https://creighton-primo.hosted.exlibrisgroup.com/primo-explore/search?tab=default_tab&amp;search_scope=EVERYTHING&amp;vid=01CRU&amp;lang=en_US&amp;offset=0&amp;query=any,contains,991002755089702656","Catalog Record")</f>
        <v>Catalog Record</v>
      </c>
      <c r="AT455" s="6" t="str">
        <f>HYPERLINK("http://www.worldcat.org/oclc/36135886","WorldCat Record")</f>
        <v>WorldCat Record</v>
      </c>
      <c r="AU455" s="3" t="s">
        <v>5841</v>
      </c>
      <c r="AV455" s="3" t="s">
        <v>5842</v>
      </c>
      <c r="AW455" s="3" t="s">
        <v>5843</v>
      </c>
      <c r="AX455" s="3" t="s">
        <v>5843</v>
      </c>
      <c r="AY455" s="3" t="s">
        <v>5844</v>
      </c>
      <c r="AZ455" s="3" t="s">
        <v>75</v>
      </c>
      <c r="BB455" s="3" t="s">
        <v>5845</v>
      </c>
      <c r="BC455" s="3" t="s">
        <v>5846</v>
      </c>
      <c r="BD455" s="3" t="s">
        <v>5847</v>
      </c>
    </row>
    <row r="456" spans="1:56" ht="39" customHeight="1" x14ac:dyDescent="0.25">
      <c r="A456" s="7" t="s">
        <v>58</v>
      </c>
      <c r="B456" s="2" t="s">
        <v>5848</v>
      </c>
      <c r="C456" s="2" t="s">
        <v>5849</v>
      </c>
      <c r="D456" s="2" t="s">
        <v>5850</v>
      </c>
      <c r="F456" s="3" t="s">
        <v>58</v>
      </c>
      <c r="G456" s="3" t="s">
        <v>59</v>
      </c>
      <c r="H456" s="3" t="s">
        <v>58</v>
      </c>
      <c r="I456" s="3" t="s">
        <v>58</v>
      </c>
      <c r="J456" s="3" t="s">
        <v>60</v>
      </c>
      <c r="K456" s="2" t="s">
        <v>5851</v>
      </c>
      <c r="L456" s="2" t="s">
        <v>5852</v>
      </c>
      <c r="M456" s="3" t="s">
        <v>670</v>
      </c>
      <c r="O456" s="3" t="s">
        <v>65</v>
      </c>
      <c r="P456" s="3" t="s">
        <v>304</v>
      </c>
      <c r="Q456" s="2" t="s">
        <v>5853</v>
      </c>
      <c r="R456" s="3" t="s">
        <v>68</v>
      </c>
      <c r="S456" s="4">
        <v>1</v>
      </c>
      <c r="T456" s="4">
        <v>1</v>
      </c>
      <c r="U456" s="5" t="s">
        <v>5038</v>
      </c>
      <c r="V456" s="5" t="s">
        <v>5038</v>
      </c>
      <c r="W456" s="5" t="s">
        <v>5748</v>
      </c>
      <c r="X456" s="5" t="s">
        <v>5748</v>
      </c>
      <c r="Y456" s="4">
        <v>162</v>
      </c>
      <c r="Z456" s="4">
        <v>133</v>
      </c>
      <c r="AA456" s="4">
        <v>138</v>
      </c>
      <c r="AB456" s="4">
        <v>2</v>
      </c>
      <c r="AC456" s="4">
        <v>2</v>
      </c>
      <c r="AD456" s="4">
        <v>16</v>
      </c>
      <c r="AE456" s="4">
        <v>17</v>
      </c>
      <c r="AF456" s="4">
        <v>3</v>
      </c>
      <c r="AG456" s="4">
        <v>3</v>
      </c>
      <c r="AH456" s="4">
        <v>5</v>
      </c>
      <c r="AI456" s="4">
        <v>5</v>
      </c>
      <c r="AJ456" s="4">
        <v>12</v>
      </c>
      <c r="AK456" s="4">
        <v>13</v>
      </c>
      <c r="AL456" s="4">
        <v>0</v>
      </c>
      <c r="AM456" s="4">
        <v>0</v>
      </c>
      <c r="AN456" s="4">
        <v>0</v>
      </c>
      <c r="AO456" s="4">
        <v>0</v>
      </c>
      <c r="AP456" s="3" t="s">
        <v>58</v>
      </c>
      <c r="AQ456" s="3" t="s">
        <v>58</v>
      </c>
      <c r="AS456" s="6" t="str">
        <f>HYPERLINK("https://creighton-primo.hosted.exlibrisgroup.com/primo-explore/search?tab=default_tab&amp;search_scope=EVERYTHING&amp;vid=01CRU&amp;lang=en_US&amp;offset=0&amp;query=any,contains,991000740539702656","Catalog Record")</f>
        <v>Catalog Record</v>
      </c>
      <c r="AT456" s="6" t="str">
        <f>HYPERLINK("http://www.worldcat.org/oclc/129261","WorldCat Record")</f>
        <v>WorldCat Record</v>
      </c>
      <c r="AU456" s="3" t="s">
        <v>5854</v>
      </c>
      <c r="AV456" s="3" t="s">
        <v>5855</v>
      </c>
      <c r="AW456" s="3" t="s">
        <v>5856</v>
      </c>
      <c r="AX456" s="3" t="s">
        <v>5856</v>
      </c>
      <c r="AY456" s="3" t="s">
        <v>5857</v>
      </c>
      <c r="AZ456" s="3" t="s">
        <v>75</v>
      </c>
      <c r="BB456" s="3" t="s">
        <v>5858</v>
      </c>
      <c r="BC456" s="3" t="s">
        <v>5859</v>
      </c>
      <c r="BD456" s="3" t="s">
        <v>5860</v>
      </c>
    </row>
    <row r="457" spans="1:56" ht="39" customHeight="1" x14ac:dyDescent="0.25">
      <c r="A457" s="7" t="s">
        <v>58</v>
      </c>
      <c r="B457" s="2" t="s">
        <v>5861</v>
      </c>
      <c r="C457" s="2" t="s">
        <v>5862</v>
      </c>
      <c r="D457" s="2" t="s">
        <v>5863</v>
      </c>
      <c r="F457" s="3" t="s">
        <v>58</v>
      </c>
      <c r="G457" s="3" t="s">
        <v>59</v>
      </c>
      <c r="H457" s="3" t="s">
        <v>58</v>
      </c>
      <c r="I457" s="3" t="s">
        <v>58</v>
      </c>
      <c r="J457" s="3" t="s">
        <v>60</v>
      </c>
      <c r="K457" s="2" t="s">
        <v>2429</v>
      </c>
      <c r="L457" s="2" t="s">
        <v>5864</v>
      </c>
      <c r="M457" s="3" t="s">
        <v>1046</v>
      </c>
      <c r="O457" s="3" t="s">
        <v>65</v>
      </c>
      <c r="P457" s="3" t="s">
        <v>186</v>
      </c>
      <c r="R457" s="3" t="s">
        <v>68</v>
      </c>
      <c r="S457" s="4">
        <v>1</v>
      </c>
      <c r="T457" s="4">
        <v>1</v>
      </c>
      <c r="U457" s="5" t="s">
        <v>5865</v>
      </c>
      <c r="V457" s="5" t="s">
        <v>5865</v>
      </c>
      <c r="W457" s="5" t="s">
        <v>5748</v>
      </c>
      <c r="X457" s="5" t="s">
        <v>5748</v>
      </c>
      <c r="Y457" s="4">
        <v>63</v>
      </c>
      <c r="Z457" s="4">
        <v>55</v>
      </c>
      <c r="AA457" s="4">
        <v>55</v>
      </c>
      <c r="AB457" s="4">
        <v>1</v>
      </c>
      <c r="AC457" s="4">
        <v>1</v>
      </c>
      <c r="AD457" s="4">
        <v>5</v>
      </c>
      <c r="AE457" s="4">
        <v>5</v>
      </c>
      <c r="AF457" s="4">
        <v>0</v>
      </c>
      <c r="AG457" s="4">
        <v>0</v>
      </c>
      <c r="AH457" s="4">
        <v>2</v>
      </c>
      <c r="AI457" s="4">
        <v>2</v>
      </c>
      <c r="AJ457" s="4">
        <v>3</v>
      </c>
      <c r="AK457" s="4">
        <v>3</v>
      </c>
      <c r="AL457" s="4">
        <v>0</v>
      </c>
      <c r="AM457" s="4">
        <v>0</v>
      </c>
      <c r="AN457" s="4">
        <v>0</v>
      </c>
      <c r="AO457" s="4">
        <v>0</v>
      </c>
      <c r="AP457" s="3" t="s">
        <v>58</v>
      </c>
      <c r="AQ457" s="3" t="s">
        <v>58</v>
      </c>
      <c r="AS457" s="6" t="str">
        <f>HYPERLINK("https://creighton-primo.hosted.exlibrisgroup.com/primo-explore/search?tab=default_tab&amp;search_scope=EVERYTHING&amp;vid=01CRU&amp;lang=en_US&amp;offset=0&amp;query=any,contains,991000733189702656","Catalog Record")</f>
        <v>Catalog Record</v>
      </c>
      <c r="AT457" s="6" t="str">
        <f>HYPERLINK("http://www.worldcat.org/oclc/12750671","WorldCat Record")</f>
        <v>WorldCat Record</v>
      </c>
      <c r="AU457" s="3" t="s">
        <v>5866</v>
      </c>
      <c r="AV457" s="3" t="s">
        <v>5867</v>
      </c>
      <c r="AW457" s="3" t="s">
        <v>5868</v>
      </c>
      <c r="AX457" s="3" t="s">
        <v>5868</v>
      </c>
      <c r="AY457" s="3" t="s">
        <v>5869</v>
      </c>
      <c r="AZ457" s="3" t="s">
        <v>75</v>
      </c>
      <c r="BB457" s="3" t="s">
        <v>5870</v>
      </c>
      <c r="BC457" s="3" t="s">
        <v>5871</v>
      </c>
      <c r="BD457" s="3" t="s">
        <v>5872</v>
      </c>
    </row>
    <row r="458" spans="1:56" ht="39" customHeight="1" x14ac:dyDescent="0.25">
      <c r="A458" s="7" t="s">
        <v>58</v>
      </c>
      <c r="B458" s="2" t="s">
        <v>5873</v>
      </c>
      <c r="C458" s="2" t="s">
        <v>5874</v>
      </c>
      <c r="D458" s="2" t="s">
        <v>5875</v>
      </c>
      <c r="F458" s="3" t="s">
        <v>58</v>
      </c>
      <c r="G458" s="3" t="s">
        <v>59</v>
      </c>
      <c r="H458" s="3" t="s">
        <v>58</v>
      </c>
      <c r="I458" s="3" t="s">
        <v>58</v>
      </c>
      <c r="J458" s="3" t="s">
        <v>60</v>
      </c>
      <c r="L458" s="2" t="s">
        <v>5876</v>
      </c>
      <c r="M458" s="3" t="s">
        <v>157</v>
      </c>
      <c r="O458" s="3" t="s">
        <v>65</v>
      </c>
      <c r="P458" s="3" t="s">
        <v>113</v>
      </c>
      <c r="Q458" s="2" t="s">
        <v>5877</v>
      </c>
      <c r="R458" s="3" t="s">
        <v>68</v>
      </c>
      <c r="S458" s="4">
        <v>2</v>
      </c>
      <c r="T458" s="4">
        <v>2</v>
      </c>
      <c r="U458" s="5" t="s">
        <v>5878</v>
      </c>
      <c r="V458" s="5" t="s">
        <v>5878</v>
      </c>
      <c r="W458" s="5" t="s">
        <v>5748</v>
      </c>
      <c r="X458" s="5" t="s">
        <v>5748</v>
      </c>
      <c r="Y458" s="4">
        <v>149</v>
      </c>
      <c r="Z458" s="4">
        <v>132</v>
      </c>
      <c r="AA458" s="4">
        <v>133</v>
      </c>
      <c r="AB458" s="4">
        <v>1</v>
      </c>
      <c r="AC458" s="4">
        <v>1</v>
      </c>
      <c r="AD458" s="4">
        <v>15</v>
      </c>
      <c r="AE458" s="4">
        <v>15</v>
      </c>
      <c r="AF458" s="4">
        <v>3</v>
      </c>
      <c r="AG458" s="4">
        <v>3</v>
      </c>
      <c r="AH458" s="4">
        <v>4</v>
      </c>
      <c r="AI458" s="4">
        <v>4</v>
      </c>
      <c r="AJ458" s="4">
        <v>12</v>
      </c>
      <c r="AK458" s="4">
        <v>12</v>
      </c>
      <c r="AL458" s="4">
        <v>0</v>
      </c>
      <c r="AM458" s="4">
        <v>0</v>
      </c>
      <c r="AN458" s="4">
        <v>0</v>
      </c>
      <c r="AO458" s="4">
        <v>0</v>
      </c>
      <c r="AP458" s="3" t="s">
        <v>58</v>
      </c>
      <c r="AQ458" s="3" t="s">
        <v>58</v>
      </c>
      <c r="AS458" s="6" t="str">
        <f>HYPERLINK("https://creighton-primo.hosted.exlibrisgroup.com/primo-explore/search?tab=default_tab&amp;search_scope=EVERYTHING&amp;vid=01CRU&amp;lang=en_US&amp;offset=0&amp;query=any,contains,991000091569702656","Catalog Record")</f>
        <v>Catalog Record</v>
      </c>
      <c r="AT458" s="6" t="str">
        <f>HYPERLINK("http://www.worldcat.org/oclc/8904548","WorldCat Record")</f>
        <v>WorldCat Record</v>
      </c>
      <c r="AU458" s="3" t="s">
        <v>5879</v>
      </c>
      <c r="AV458" s="3" t="s">
        <v>5880</v>
      </c>
      <c r="AW458" s="3" t="s">
        <v>5881</v>
      </c>
      <c r="AX458" s="3" t="s">
        <v>5881</v>
      </c>
      <c r="AY458" s="3" t="s">
        <v>5882</v>
      </c>
      <c r="AZ458" s="3" t="s">
        <v>75</v>
      </c>
      <c r="BC458" s="3" t="s">
        <v>5883</v>
      </c>
      <c r="BD458" s="3" t="s">
        <v>5884</v>
      </c>
    </row>
    <row r="459" spans="1:56" ht="39" customHeight="1" x14ac:dyDescent="0.25">
      <c r="A459" s="7" t="s">
        <v>58</v>
      </c>
      <c r="B459" s="2" t="s">
        <v>5885</v>
      </c>
      <c r="C459" s="2" t="s">
        <v>5886</v>
      </c>
      <c r="D459" s="2" t="s">
        <v>5887</v>
      </c>
      <c r="F459" s="3" t="s">
        <v>58</v>
      </c>
      <c r="G459" s="3" t="s">
        <v>59</v>
      </c>
      <c r="H459" s="3" t="s">
        <v>58</v>
      </c>
      <c r="I459" s="3" t="s">
        <v>58</v>
      </c>
      <c r="J459" s="3" t="s">
        <v>60</v>
      </c>
      <c r="K459" s="2" t="s">
        <v>5888</v>
      </c>
      <c r="L459" s="2" t="s">
        <v>5889</v>
      </c>
      <c r="M459" s="3" t="s">
        <v>98</v>
      </c>
      <c r="O459" s="3" t="s">
        <v>65</v>
      </c>
      <c r="P459" s="3" t="s">
        <v>492</v>
      </c>
      <c r="Q459" s="2" t="s">
        <v>5890</v>
      </c>
      <c r="R459" s="3" t="s">
        <v>68</v>
      </c>
      <c r="S459" s="4">
        <v>1</v>
      </c>
      <c r="T459" s="4">
        <v>1</v>
      </c>
      <c r="U459" s="5" t="s">
        <v>5891</v>
      </c>
      <c r="V459" s="5" t="s">
        <v>5891</v>
      </c>
      <c r="W459" s="5" t="s">
        <v>5748</v>
      </c>
      <c r="X459" s="5" t="s">
        <v>5748</v>
      </c>
      <c r="Y459" s="4">
        <v>327</v>
      </c>
      <c r="Z459" s="4">
        <v>283</v>
      </c>
      <c r="AA459" s="4">
        <v>295</v>
      </c>
      <c r="AB459" s="4">
        <v>4</v>
      </c>
      <c r="AC459" s="4">
        <v>4</v>
      </c>
      <c r="AD459" s="4">
        <v>27</v>
      </c>
      <c r="AE459" s="4">
        <v>29</v>
      </c>
      <c r="AF459" s="4">
        <v>8</v>
      </c>
      <c r="AG459" s="4">
        <v>8</v>
      </c>
      <c r="AH459" s="4">
        <v>6</v>
      </c>
      <c r="AI459" s="4">
        <v>6</v>
      </c>
      <c r="AJ459" s="4">
        <v>21</v>
      </c>
      <c r="AK459" s="4">
        <v>23</v>
      </c>
      <c r="AL459" s="4">
        <v>2</v>
      </c>
      <c r="AM459" s="4">
        <v>2</v>
      </c>
      <c r="AN459" s="4">
        <v>0</v>
      </c>
      <c r="AO459" s="4">
        <v>0</v>
      </c>
      <c r="AP459" s="3" t="s">
        <v>58</v>
      </c>
      <c r="AQ459" s="3" t="s">
        <v>58</v>
      </c>
      <c r="AS459" s="6" t="str">
        <f>HYPERLINK("https://creighton-primo.hosted.exlibrisgroup.com/primo-explore/search?tab=default_tab&amp;search_scope=EVERYTHING&amp;vid=01CRU&amp;lang=en_US&amp;offset=0&amp;query=any,contains,991003195739702656","Catalog Record")</f>
        <v>Catalog Record</v>
      </c>
      <c r="AT459" s="6" t="str">
        <f>HYPERLINK("http://www.worldcat.org/oclc/721153","WorldCat Record")</f>
        <v>WorldCat Record</v>
      </c>
      <c r="AU459" s="3" t="s">
        <v>5892</v>
      </c>
      <c r="AV459" s="3" t="s">
        <v>5893</v>
      </c>
      <c r="AW459" s="3" t="s">
        <v>5894</v>
      </c>
      <c r="AX459" s="3" t="s">
        <v>5894</v>
      </c>
      <c r="AY459" s="3" t="s">
        <v>5895</v>
      </c>
      <c r="AZ459" s="3" t="s">
        <v>75</v>
      </c>
      <c r="BC459" s="3" t="s">
        <v>5896</v>
      </c>
      <c r="BD459" s="3" t="s">
        <v>5897</v>
      </c>
    </row>
    <row r="460" spans="1:56" ht="39" customHeight="1" x14ac:dyDescent="0.25">
      <c r="A460" s="7" t="s">
        <v>58</v>
      </c>
      <c r="B460" s="2" t="s">
        <v>5898</v>
      </c>
      <c r="C460" s="2" t="s">
        <v>5899</v>
      </c>
      <c r="D460" s="2" t="s">
        <v>5900</v>
      </c>
      <c r="F460" s="3" t="s">
        <v>58</v>
      </c>
      <c r="G460" s="3" t="s">
        <v>59</v>
      </c>
      <c r="H460" s="3" t="s">
        <v>58</v>
      </c>
      <c r="I460" s="3" t="s">
        <v>58</v>
      </c>
      <c r="J460" s="3" t="s">
        <v>60</v>
      </c>
      <c r="K460" s="2" t="s">
        <v>5901</v>
      </c>
      <c r="L460" s="2" t="s">
        <v>5902</v>
      </c>
      <c r="M460" s="3" t="s">
        <v>112</v>
      </c>
      <c r="O460" s="3" t="s">
        <v>65</v>
      </c>
      <c r="P460" s="3" t="s">
        <v>186</v>
      </c>
      <c r="R460" s="3" t="s">
        <v>68</v>
      </c>
      <c r="S460" s="4">
        <v>1</v>
      </c>
      <c r="T460" s="4">
        <v>1</v>
      </c>
      <c r="U460" s="5" t="s">
        <v>1084</v>
      </c>
      <c r="V460" s="5" t="s">
        <v>1084</v>
      </c>
      <c r="W460" s="5" t="s">
        <v>1084</v>
      </c>
      <c r="X460" s="5" t="s">
        <v>1084</v>
      </c>
      <c r="Y460" s="4">
        <v>93</v>
      </c>
      <c r="Z460" s="4">
        <v>77</v>
      </c>
      <c r="AA460" s="4">
        <v>84</v>
      </c>
      <c r="AB460" s="4">
        <v>2</v>
      </c>
      <c r="AC460" s="4">
        <v>2</v>
      </c>
      <c r="AD460" s="4">
        <v>6</v>
      </c>
      <c r="AE460" s="4">
        <v>7</v>
      </c>
      <c r="AF460" s="4">
        <v>1</v>
      </c>
      <c r="AG460" s="4">
        <v>2</v>
      </c>
      <c r="AH460" s="4">
        <v>3</v>
      </c>
      <c r="AI460" s="4">
        <v>3</v>
      </c>
      <c r="AJ460" s="4">
        <v>2</v>
      </c>
      <c r="AK460" s="4">
        <v>2</v>
      </c>
      <c r="AL460" s="4">
        <v>0</v>
      </c>
      <c r="AM460" s="4">
        <v>0</v>
      </c>
      <c r="AN460" s="4">
        <v>0</v>
      </c>
      <c r="AO460" s="4">
        <v>0</v>
      </c>
      <c r="AP460" s="3" t="s">
        <v>58</v>
      </c>
      <c r="AQ460" s="3" t="s">
        <v>58</v>
      </c>
      <c r="AS460" s="6" t="str">
        <f>HYPERLINK("https://creighton-primo.hosted.exlibrisgroup.com/primo-explore/search?tab=default_tab&amp;search_scope=EVERYTHING&amp;vid=01CRU&amp;lang=en_US&amp;offset=0&amp;query=any,contains,991004529009702656","Catalog Record")</f>
        <v>Catalog Record</v>
      </c>
      <c r="AT460" s="6" t="str">
        <f>HYPERLINK("http://www.worldcat.org/oclc/25832249","WorldCat Record")</f>
        <v>WorldCat Record</v>
      </c>
      <c r="AU460" s="3" t="s">
        <v>5903</v>
      </c>
      <c r="AV460" s="3" t="s">
        <v>5904</v>
      </c>
      <c r="AW460" s="3" t="s">
        <v>5905</v>
      </c>
      <c r="AX460" s="3" t="s">
        <v>5905</v>
      </c>
      <c r="AY460" s="3" t="s">
        <v>5906</v>
      </c>
      <c r="AZ460" s="3" t="s">
        <v>75</v>
      </c>
      <c r="BB460" s="3" t="s">
        <v>5907</v>
      </c>
      <c r="BC460" s="3" t="s">
        <v>5908</v>
      </c>
      <c r="BD460" s="3" t="s">
        <v>5909</v>
      </c>
    </row>
    <row r="461" spans="1:56" ht="39" customHeight="1" x14ac:dyDescent="0.25">
      <c r="A461" s="7" t="s">
        <v>58</v>
      </c>
      <c r="B461" s="2" t="s">
        <v>5910</v>
      </c>
      <c r="C461" s="2" t="s">
        <v>5911</v>
      </c>
      <c r="D461" s="2" t="s">
        <v>5912</v>
      </c>
      <c r="F461" s="3" t="s">
        <v>58</v>
      </c>
      <c r="G461" s="3" t="s">
        <v>59</v>
      </c>
      <c r="H461" s="3" t="s">
        <v>58</v>
      </c>
      <c r="I461" s="3" t="s">
        <v>58</v>
      </c>
      <c r="J461" s="3" t="s">
        <v>60</v>
      </c>
      <c r="K461" s="2" t="s">
        <v>5913</v>
      </c>
      <c r="L461" s="2" t="s">
        <v>5914</v>
      </c>
      <c r="M461" s="3" t="s">
        <v>98</v>
      </c>
      <c r="N461" s="2" t="s">
        <v>2831</v>
      </c>
      <c r="O461" s="3" t="s">
        <v>65</v>
      </c>
      <c r="P461" s="3" t="s">
        <v>186</v>
      </c>
      <c r="R461" s="3" t="s">
        <v>68</v>
      </c>
      <c r="S461" s="4">
        <v>1</v>
      </c>
      <c r="T461" s="4">
        <v>1</v>
      </c>
      <c r="U461" s="5" t="s">
        <v>5915</v>
      </c>
      <c r="V461" s="5" t="s">
        <v>5915</v>
      </c>
      <c r="W461" s="5" t="s">
        <v>5748</v>
      </c>
      <c r="X461" s="5" t="s">
        <v>5748</v>
      </c>
      <c r="Y461" s="4">
        <v>433</v>
      </c>
      <c r="Z461" s="4">
        <v>390</v>
      </c>
      <c r="AA461" s="4">
        <v>435</v>
      </c>
      <c r="AB461" s="4">
        <v>8</v>
      </c>
      <c r="AC461" s="4">
        <v>8</v>
      </c>
      <c r="AD461" s="4">
        <v>22</v>
      </c>
      <c r="AE461" s="4">
        <v>24</v>
      </c>
      <c r="AF461" s="4">
        <v>7</v>
      </c>
      <c r="AG461" s="4">
        <v>8</v>
      </c>
      <c r="AH461" s="4">
        <v>5</v>
      </c>
      <c r="AI461" s="4">
        <v>5</v>
      </c>
      <c r="AJ461" s="4">
        <v>10</v>
      </c>
      <c r="AK461" s="4">
        <v>11</v>
      </c>
      <c r="AL461" s="4">
        <v>5</v>
      </c>
      <c r="AM461" s="4">
        <v>5</v>
      </c>
      <c r="AN461" s="4">
        <v>0</v>
      </c>
      <c r="AO461" s="4">
        <v>0</v>
      </c>
      <c r="AP461" s="3" t="s">
        <v>58</v>
      </c>
      <c r="AQ461" s="3" t="s">
        <v>58</v>
      </c>
      <c r="AS461" s="6" t="str">
        <f>HYPERLINK("https://creighton-primo.hosted.exlibrisgroup.com/primo-explore/search?tab=default_tab&amp;search_scope=EVERYTHING&amp;vid=01CRU&amp;lang=en_US&amp;offset=0&amp;query=any,contains,991003740799702656","Catalog Record")</f>
        <v>Catalog Record</v>
      </c>
      <c r="AT461" s="6" t="str">
        <f>HYPERLINK("http://www.worldcat.org/oclc/1404282","WorldCat Record")</f>
        <v>WorldCat Record</v>
      </c>
      <c r="AU461" s="3" t="s">
        <v>5916</v>
      </c>
      <c r="AV461" s="3" t="s">
        <v>5917</v>
      </c>
      <c r="AW461" s="3" t="s">
        <v>5918</v>
      </c>
      <c r="AX461" s="3" t="s">
        <v>5918</v>
      </c>
      <c r="AY461" s="3" t="s">
        <v>5919</v>
      </c>
      <c r="AZ461" s="3" t="s">
        <v>75</v>
      </c>
      <c r="BC461" s="3" t="s">
        <v>5920</v>
      </c>
      <c r="BD461" s="3" t="s">
        <v>5921</v>
      </c>
    </row>
    <row r="462" spans="1:56" ht="39" customHeight="1" x14ac:dyDescent="0.25">
      <c r="A462" s="7" t="s">
        <v>58</v>
      </c>
      <c r="B462" s="2" t="s">
        <v>5922</v>
      </c>
      <c r="C462" s="2" t="s">
        <v>5923</v>
      </c>
      <c r="D462" s="2" t="s">
        <v>5924</v>
      </c>
      <c r="F462" s="3" t="s">
        <v>58</v>
      </c>
      <c r="G462" s="3" t="s">
        <v>59</v>
      </c>
      <c r="H462" s="3" t="s">
        <v>58</v>
      </c>
      <c r="I462" s="3" t="s">
        <v>58</v>
      </c>
      <c r="J462" s="3" t="s">
        <v>60</v>
      </c>
      <c r="K462" s="2" t="s">
        <v>5925</v>
      </c>
      <c r="L462" s="2" t="s">
        <v>5926</v>
      </c>
      <c r="M462" s="3" t="s">
        <v>655</v>
      </c>
      <c r="O462" s="3" t="s">
        <v>1490</v>
      </c>
      <c r="P462" s="3" t="s">
        <v>186</v>
      </c>
      <c r="R462" s="3" t="s">
        <v>68</v>
      </c>
      <c r="S462" s="4">
        <v>1</v>
      </c>
      <c r="T462" s="4">
        <v>1</v>
      </c>
      <c r="U462" s="5" t="s">
        <v>5927</v>
      </c>
      <c r="V462" s="5" t="s">
        <v>5927</v>
      </c>
      <c r="W462" s="5" t="s">
        <v>5748</v>
      </c>
      <c r="X462" s="5" t="s">
        <v>5748</v>
      </c>
      <c r="Y462" s="4">
        <v>83</v>
      </c>
      <c r="Z462" s="4">
        <v>55</v>
      </c>
      <c r="AA462" s="4">
        <v>117</v>
      </c>
      <c r="AB462" s="4">
        <v>1</v>
      </c>
      <c r="AC462" s="4">
        <v>2</v>
      </c>
      <c r="AD462" s="4">
        <v>6</v>
      </c>
      <c r="AE462" s="4">
        <v>11</v>
      </c>
      <c r="AF462" s="4">
        <v>2</v>
      </c>
      <c r="AG462" s="4">
        <v>2</v>
      </c>
      <c r="AH462" s="4">
        <v>3</v>
      </c>
      <c r="AI462" s="4">
        <v>4</v>
      </c>
      <c r="AJ462" s="4">
        <v>4</v>
      </c>
      <c r="AK462" s="4">
        <v>8</v>
      </c>
      <c r="AL462" s="4">
        <v>0</v>
      </c>
      <c r="AM462" s="4">
        <v>1</v>
      </c>
      <c r="AN462" s="4">
        <v>0</v>
      </c>
      <c r="AO462" s="4">
        <v>0</v>
      </c>
      <c r="AP462" s="3" t="s">
        <v>58</v>
      </c>
      <c r="AQ462" s="3" t="s">
        <v>58</v>
      </c>
      <c r="AS462" s="6" t="str">
        <f>HYPERLINK("https://creighton-primo.hosted.exlibrisgroup.com/primo-explore/search?tab=default_tab&amp;search_scope=EVERYTHING&amp;vid=01CRU&amp;lang=en_US&amp;offset=0&amp;query=any,contains,991003164369702656","Catalog Record")</f>
        <v>Catalog Record</v>
      </c>
      <c r="AT462" s="6" t="str">
        <f>HYPERLINK("http://www.worldcat.org/oclc/702750","WorldCat Record")</f>
        <v>WorldCat Record</v>
      </c>
      <c r="AU462" s="3" t="s">
        <v>5928</v>
      </c>
      <c r="AV462" s="3" t="s">
        <v>5929</v>
      </c>
      <c r="AW462" s="3" t="s">
        <v>5930</v>
      </c>
      <c r="AX462" s="3" t="s">
        <v>5930</v>
      </c>
      <c r="AY462" s="3" t="s">
        <v>5931</v>
      </c>
      <c r="AZ462" s="3" t="s">
        <v>75</v>
      </c>
      <c r="BB462" s="3" t="s">
        <v>5932</v>
      </c>
      <c r="BC462" s="3" t="s">
        <v>5933</v>
      </c>
      <c r="BD462" s="3" t="s">
        <v>5934</v>
      </c>
    </row>
    <row r="463" spans="1:56" ht="39" customHeight="1" x14ac:dyDescent="0.25">
      <c r="A463" s="7" t="s">
        <v>58</v>
      </c>
      <c r="B463" s="2" t="s">
        <v>5935</v>
      </c>
      <c r="C463" s="2" t="s">
        <v>5936</v>
      </c>
      <c r="D463" s="2" t="s">
        <v>5937</v>
      </c>
      <c r="F463" s="3" t="s">
        <v>58</v>
      </c>
      <c r="G463" s="3" t="s">
        <v>59</v>
      </c>
      <c r="H463" s="3" t="s">
        <v>58</v>
      </c>
      <c r="I463" s="3" t="s">
        <v>58</v>
      </c>
      <c r="J463" s="3" t="s">
        <v>60</v>
      </c>
      <c r="K463" s="2" t="s">
        <v>5938</v>
      </c>
      <c r="L463" s="2" t="s">
        <v>5939</v>
      </c>
      <c r="M463" s="3" t="s">
        <v>229</v>
      </c>
      <c r="N463" s="2" t="s">
        <v>476</v>
      </c>
      <c r="O463" s="3" t="s">
        <v>65</v>
      </c>
      <c r="P463" s="3" t="s">
        <v>1724</v>
      </c>
      <c r="R463" s="3" t="s">
        <v>68</v>
      </c>
      <c r="S463" s="4">
        <v>4</v>
      </c>
      <c r="T463" s="4">
        <v>4</v>
      </c>
      <c r="U463" s="5" t="s">
        <v>5161</v>
      </c>
      <c r="V463" s="5" t="s">
        <v>5161</v>
      </c>
      <c r="W463" s="5" t="s">
        <v>5162</v>
      </c>
      <c r="X463" s="5" t="s">
        <v>5162</v>
      </c>
      <c r="Y463" s="4">
        <v>301</v>
      </c>
      <c r="Z463" s="4">
        <v>240</v>
      </c>
      <c r="AA463" s="4">
        <v>554</v>
      </c>
      <c r="AB463" s="4">
        <v>3</v>
      </c>
      <c r="AC463" s="4">
        <v>3</v>
      </c>
      <c r="AD463" s="4">
        <v>14</v>
      </c>
      <c r="AE463" s="4">
        <v>16</v>
      </c>
      <c r="AF463" s="4">
        <v>6</v>
      </c>
      <c r="AG463" s="4">
        <v>8</v>
      </c>
      <c r="AH463" s="4">
        <v>2</v>
      </c>
      <c r="AI463" s="4">
        <v>2</v>
      </c>
      <c r="AJ463" s="4">
        <v>7</v>
      </c>
      <c r="AK463" s="4">
        <v>7</v>
      </c>
      <c r="AL463" s="4">
        <v>2</v>
      </c>
      <c r="AM463" s="4">
        <v>2</v>
      </c>
      <c r="AN463" s="4">
        <v>0</v>
      </c>
      <c r="AO463" s="4">
        <v>0</v>
      </c>
      <c r="AP463" s="3" t="s">
        <v>58</v>
      </c>
      <c r="AQ463" s="3" t="s">
        <v>132</v>
      </c>
      <c r="AR463" s="6" t="str">
        <f>HYPERLINK("http://catalog.hathitrust.org/Record/009491869","HathiTrust Record")</f>
        <v>HathiTrust Record</v>
      </c>
      <c r="AS463" s="6" t="str">
        <f>HYPERLINK("https://creighton-primo.hosted.exlibrisgroup.com/primo-explore/search?tab=default_tab&amp;search_scope=EVERYTHING&amp;vid=01CRU&amp;lang=en_US&amp;offset=0&amp;query=any,contains,991001373109702656","Catalog Record")</f>
        <v>Catalog Record</v>
      </c>
      <c r="AT463" s="6" t="str">
        <f>HYPERLINK("http://www.worldcat.org/oclc/18589061","WorldCat Record")</f>
        <v>WorldCat Record</v>
      </c>
      <c r="AU463" s="3" t="s">
        <v>5940</v>
      </c>
      <c r="AV463" s="3" t="s">
        <v>5941</v>
      </c>
      <c r="AW463" s="3" t="s">
        <v>5942</v>
      </c>
      <c r="AX463" s="3" t="s">
        <v>5942</v>
      </c>
      <c r="AY463" s="3" t="s">
        <v>5943</v>
      </c>
      <c r="AZ463" s="3" t="s">
        <v>75</v>
      </c>
      <c r="BB463" s="3" t="s">
        <v>5944</v>
      </c>
      <c r="BC463" s="3" t="s">
        <v>5945</v>
      </c>
      <c r="BD463" s="3" t="s">
        <v>5946</v>
      </c>
    </row>
    <row r="464" spans="1:56" ht="39" customHeight="1" x14ac:dyDescent="0.25">
      <c r="A464" s="7" t="s">
        <v>58</v>
      </c>
      <c r="B464" s="2" t="s">
        <v>5947</v>
      </c>
      <c r="C464" s="2" t="s">
        <v>5948</v>
      </c>
      <c r="D464" s="2" t="s">
        <v>5949</v>
      </c>
      <c r="F464" s="3" t="s">
        <v>58</v>
      </c>
      <c r="G464" s="3" t="s">
        <v>59</v>
      </c>
      <c r="H464" s="3" t="s">
        <v>58</v>
      </c>
      <c r="I464" s="3" t="s">
        <v>58</v>
      </c>
      <c r="J464" s="3" t="s">
        <v>60</v>
      </c>
      <c r="L464" s="2" t="s">
        <v>5950</v>
      </c>
      <c r="M464" s="3" t="s">
        <v>361</v>
      </c>
      <c r="O464" s="3" t="s">
        <v>65</v>
      </c>
      <c r="P464" s="3" t="s">
        <v>201</v>
      </c>
      <c r="R464" s="3" t="s">
        <v>68</v>
      </c>
      <c r="S464" s="4">
        <v>2</v>
      </c>
      <c r="T464" s="4">
        <v>2</v>
      </c>
      <c r="U464" s="5" t="s">
        <v>5188</v>
      </c>
      <c r="V464" s="5" t="s">
        <v>5188</v>
      </c>
      <c r="W464" s="5" t="s">
        <v>5951</v>
      </c>
      <c r="X464" s="5" t="s">
        <v>5951</v>
      </c>
      <c r="Y464" s="4">
        <v>171</v>
      </c>
      <c r="Z464" s="4">
        <v>141</v>
      </c>
      <c r="AA464" s="4">
        <v>146</v>
      </c>
      <c r="AB464" s="4">
        <v>1</v>
      </c>
      <c r="AC464" s="4">
        <v>1</v>
      </c>
      <c r="AD464" s="4">
        <v>15</v>
      </c>
      <c r="AE464" s="4">
        <v>15</v>
      </c>
      <c r="AF464" s="4">
        <v>5</v>
      </c>
      <c r="AG464" s="4">
        <v>5</v>
      </c>
      <c r="AH464" s="4">
        <v>3</v>
      </c>
      <c r="AI464" s="4">
        <v>3</v>
      </c>
      <c r="AJ464" s="4">
        <v>11</v>
      </c>
      <c r="AK464" s="4">
        <v>11</v>
      </c>
      <c r="AL464" s="4">
        <v>0</v>
      </c>
      <c r="AM464" s="4">
        <v>0</v>
      </c>
      <c r="AN464" s="4">
        <v>0</v>
      </c>
      <c r="AO464" s="4">
        <v>0</v>
      </c>
      <c r="AP464" s="3" t="s">
        <v>58</v>
      </c>
      <c r="AQ464" s="3" t="s">
        <v>58</v>
      </c>
      <c r="AS464" s="6" t="str">
        <f>HYPERLINK("https://creighton-primo.hosted.exlibrisgroup.com/primo-explore/search?tab=default_tab&amp;search_scope=EVERYTHING&amp;vid=01CRU&amp;lang=en_US&amp;offset=0&amp;query=any,contains,991000189679702656","Catalog Record")</f>
        <v>Catalog Record</v>
      </c>
      <c r="AT464" s="6" t="str">
        <f>HYPERLINK("http://www.worldcat.org/oclc/9411904","WorldCat Record")</f>
        <v>WorldCat Record</v>
      </c>
      <c r="AU464" s="3" t="s">
        <v>5952</v>
      </c>
      <c r="AV464" s="3" t="s">
        <v>5953</v>
      </c>
      <c r="AW464" s="3" t="s">
        <v>5954</v>
      </c>
      <c r="AX464" s="3" t="s">
        <v>5954</v>
      </c>
      <c r="AY464" s="3" t="s">
        <v>5955</v>
      </c>
      <c r="AZ464" s="3" t="s">
        <v>75</v>
      </c>
      <c r="BB464" s="3" t="s">
        <v>5956</v>
      </c>
      <c r="BC464" s="3" t="s">
        <v>5957</v>
      </c>
      <c r="BD464" s="3" t="s">
        <v>5958</v>
      </c>
    </row>
    <row r="465" spans="1:56" ht="39" customHeight="1" x14ac:dyDescent="0.25">
      <c r="A465" s="7" t="s">
        <v>58</v>
      </c>
      <c r="B465" s="2" t="s">
        <v>5959</v>
      </c>
      <c r="C465" s="2" t="s">
        <v>5960</v>
      </c>
      <c r="D465" s="2" t="s">
        <v>5961</v>
      </c>
      <c r="F465" s="3" t="s">
        <v>58</v>
      </c>
      <c r="G465" s="3" t="s">
        <v>59</v>
      </c>
      <c r="H465" s="3" t="s">
        <v>58</v>
      </c>
      <c r="I465" s="3" t="s">
        <v>58</v>
      </c>
      <c r="J465" s="3" t="s">
        <v>60</v>
      </c>
      <c r="K465" s="2" t="s">
        <v>5962</v>
      </c>
      <c r="L465" s="2" t="s">
        <v>5963</v>
      </c>
      <c r="M465" s="3" t="s">
        <v>1150</v>
      </c>
      <c r="O465" s="3" t="s">
        <v>65</v>
      </c>
      <c r="P465" s="3" t="s">
        <v>84</v>
      </c>
      <c r="R465" s="3" t="s">
        <v>68</v>
      </c>
      <c r="S465" s="4">
        <v>3</v>
      </c>
      <c r="T465" s="4">
        <v>3</v>
      </c>
      <c r="U465" s="5" t="s">
        <v>5964</v>
      </c>
      <c r="V465" s="5" t="s">
        <v>5964</v>
      </c>
      <c r="W465" s="5" t="s">
        <v>2040</v>
      </c>
      <c r="X465" s="5" t="s">
        <v>2040</v>
      </c>
      <c r="Y465" s="4">
        <v>240</v>
      </c>
      <c r="Z465" s="4">
        <v>214</v>
      </c>
      <c r="AA465" s="4">
        <v>847</v>
      </c>
      <c r="AB465" s="4">
        <v>3</v>
      </c>
      <c r="AC465" s="4">
        <v>4</v>
      </c>
      <c r="AD465" s="4">
        <v>16</v>
      </c>
      <c r="AE465" s="4">
        <v>32</v>
      </c>
      <c r="AF465" s="4">
        <v>3</v>
      </c>
      <c r="AG465" s="4">
        <v>13</v>
      </c>
      <c r="AH465" s="4">
        <v>5</v>
      </c>
      <c r="AI465" s="4">
        <v>8</v>
      </c>
      <c r="AJ465" s="4">
        <v>10</v>
      </c>
      <c r="AK465" s="4">
        <v>16</v>
      </c>
      <c r="AL465" s="4">
        <v>2</v>
      </c>
      <c r="AM465" s="4">
        <v>3</v>
      </c>
      <c r="AN465" s="4">
        <v>0</v>
      </c>
      <c r="AO465" s="4">
        <v>0</v>
      </c>
      <c r="AP465" s="3" t="s">
        <v>58</v>
      </c>
      <c r="AQ465" s="3" t="s">
        <v>58</v>
      </c>
      <c r="AS465" s="6" t="str">
        <f>HYPERLINK("https://creighton-primo.hosted.exlibrisgroup.com/primo-explore/search?tab=default_tab&amp;search_scope=EVERYTHING&amp;vid=01CRU&amp;lang=en_US&amp;offset=0&amp;query=any,contains,991005424399702656","Catalog Record")</f>
        <v>Catalog Record</v>
      </c>
      <c r="AT465" s="6" t="str">
        <f>HYPERLINK("http://www.worldcat.org/oclc/35084557","WorldCat Record")</f>
        <v>WorldCat Record</v>
      </c>
      <c r="AU465" s="3" t="s">
        <v>5965</v>
      </c>
      <c r="AV465" s="3" t="s">
        <v>5966</v>
      </c>
      <c r="AW465" s="3" t="s">
        <v>5967</v>
      </c>
      <c r="AX465" s="3" t="s">
        <v>5967</v>
      </c>
      <c r="AY465" s="3" t="s">
        <v>5968</v>
      </c>
      <c r="AZ465" s="3" t="s">
        <v>75</v>
      </c>
      <c r="BB465" s="3" t="s">
        <v>5969</v>
      </c>
      <c r="BC465" s="3" t="s">
        <v>5970</v>
      </c>
      <c r="BD465" s="3" t="s">
        <v>5971</v>
      </c>
    </row>
    <row r="466" spans="1:56" ht="39" customHeight="1" x14ac:dyDescent="0.25">
      <c r="A466" s="7" t="s">
        <v>58</v>
      </c>
      <c r="B466" s="2" t="s">
        <v>5972</v>
      </c>
      <c r="C466" s="2" t="s">
        <v>5973</v>
      </c>
      <c r="D466" s="2" t="s">
        <v>5974</v>
      </c>
      <c r="F466" s="3" t="s">
        <v>58</v>
      </c>
      <c r="G466" s="3" t="s">
        <v>59</v>
      </c>
      <c r="H466" s="3" t="s">
        <v>58</v>
      </c>
      <c r="I466" s="3" t="s">
        <v>58</v>
      </c>
      <c r="J466" s="3" t="s">
        <v>60</v>
      </c>
      <c r="K466" s="2" t="s">
        <v>5975</v>
      </c>
      <c r="L466" s="2" t="s">
        <v>5976</v>
      </c>
      <c r="M466" s="3" t="s">
        <v>781</v>
      </c>
      <c r="O466" s="3" t="s">
        <v>65</v>
      </c>
      <c r="P466" s="3" t="s">
        <v>66</v>
      </c>
      <c r="R466" s="3" t="s">
        <v>68</v>
      </c>
      <c r="S466" s="4">
        <v>3</v>
      </c>
      <c r="T466" s="4">
        <v>3</v>
      </c>
      <c r="U466" s="5" t="s">
        <v>5977</v>
      </c>
      <c r="V466" s="5" t="s">
        <v>5977</v>
      </c>
      <c r="W466" s="5" t="s">
        <v>5748</v>
      </c>
      <c r="X466" s="5" t="s">
        <v>5748</v>
      </c>
      <c r="Y466" s="4">
        <v>45</v>
      </c>
      <c r="Z466" s="4">
        <v>28</v>
      </c>
      <c r="AA466" s="4">
        <v>36</v>
      </c>
      <c r="AB466" s="4">
        <v>1</v>
      </c>
      <c r="AC466" s="4">
        <v>1</v>
      </c>
      <c r="AD466" s="4">
        <v>1</v>
      </c>
      <c r="AE466" s="4">
        <v>1</v>
      </c>
      <c r="AF466" s="4">
        <v>0</v>
      </c>
      <c r="AG466" s="4">
        <v>0</v>
      </c>
      <c r="AH466" s="4">
        <v>0</v>
      </c>
      <c r="AI466" s="4">
        <v>0</v>
      </c>
      <c r="AJ466" s="4">
        <v>1</v>
      </c>
      <c r="AK466" s="4">
        <v>1</v>
      </c>
      <c r="AL466" s="4">
        <v>0</v>
      </c>
      <c r="AM466" s="4">
        <v>0</v>
      </c>
      <c r="AN466" s="4">
        <v>0</v>
      </c>
      <c r="AO466" s="4">
        <v>0</v>
      </c>
      <c r="AP466" s="3" t="s">
        <v>58</v>
      </c>
      <c r="AQ466" s="3" t="s">
        <v>58</v>
      </c>
      <c r="AS466" s="6" t="str">
        <f>HYPERLINK("https://creighton-primo.hosted.exlibrisgroup.com/primo-explore/search?tab=default_tab&amp;search_scope=EVERYTHING&amp;vid=01CRU&amp;lang=en_US&amp;offset=0&amp;query=any,contains,991000827319702656","Catalog Record")</f>
        <v>Catalog Record</v>
      </c>
      <c r="AT466" s="6" t="str">
        <f>HYPERLINK("http://www.worldcat.org/oclc/13424118","WorldCat Record")</f>
        <v>WorldCat Record</v>
      </c>
      <c r="AU466" s="3" t="s">
        <v>5978</v>
      </c>
      <c r="AV466" s="3" t="s">
        <v>5979</v>
      </c>
      <c r="AW466" s="3" t="s">
        <v>5980</v>
      </c>
      <c r="AX466" s="3" t="s">
        <v>5980</v>
      </c>
      <c r="AY466" s="3" t="s">
        <v>5981</v>
      </c>
      <c r="AZ466" s="3" t="s">
        <v>75</v>
      </c>
      <c r="BB466" s="3" t="s">
        <v>5982</v>
      </c>
      <c r="BC466" s="3" t="s">
        <v>5983</v>
      </c>
      <c r="BD466" s="3" t="s">
        <v>5984</v>
      </c>
    </row>
    <row r="467" spans="1:56" ht="39" customHeight="1" x14ac:dyDescent="0.25">
      <c r="A467" s="7" t="s">
        <v>58</v>
      </c>
      <c r="B467" s="2" t="s">
        <v>5985</v>
      </c>
      <c r="C467" s="2" t="s">
        <v>5986</v>
      </c>
      <c r="D467" s="2" t="s">
        <v>5987</v>
      </c>
      <c r="F467" s="3" t="s">
        <v>58</v>
      </c>
      <c r="G467" s="3" t="s">
        <v>59</v>
      </c>
      <c r="H467" s="3" t="s">
        <v>58</v>
      </c>
      <c r="I467" s="3" t="s">
        <v>58</v>
      </c>
      <c r="J467" s="3" t="s">
        <v>60</v>
      </c>
      <c r="K467" s="2" t="s">
        <v>5988</v>
      </c>
      <c r="L467" s="2" t="s">
        <v>5989</v>
      </c>
      <c r="M467" s="3" t="s">
        <v>1046</v>
      </c>
      <c r="O467" s="3" t="s">
        <v>65</v>
      </c>
      <c r="P467" s="3" t="s">
        <v>158</v>
      </c>
      <c r="R467" s="3" t="s">
        <v>68</v>
      </c>
      <c r="S467" s="4">
        <v>2</v>
      </c>
      <c r="T467" s="4">
        <v>2</v>
      </c>
      <c r="U467" s="5" t="s">
        <v>5990</v>
      </c>
      <c r="V467" s="5" t="s">
        <v>5990</v>
      </c>
      <c r="W467" s="5" t="s">
        <v>3699</v>
      </c>
      <c r="X467" s="5" t="s">
        <v>3699</v>
      </c>
      <c r="Y467" s="4">
        <v>77</v>
      </c>
      <c r="Z467" s="4">
        <v>66</v>
      </c>
      <c r="AA467" s="4">
        <v>66</v>
      </c>
      <c r="AB467" s="4">
        <v>1</v>
      </c>
      <c r="AC467" s="4">
        <v>1</v>
      </c>
      <c r="AD467" s="4">
        <v>1</v>
      </c>
      <c r="AE467" s="4">
        <v>1</v>
      </c>
      <c r="AF467" s="4">
        <v>1</v>
      </c>
      <c r="AG467" s="4">
        <v>1</v>
      </c>
      <c r="AH467" s="4">
        <v>0</v>
      </c>
      <c r="AI467" s="4">
        <v>0</v>
      </c>
      <c r="AJ467" s="4">
        <v>0</v>
      </c>
      <c r="AK467" s="4">
        <v>0</v>
      </c>
      <c r="AL467" s="4">
        <v>0</v>
      </c>
      <c r="AM467" s="4">
        <v>0</v>
      </c>
      <c r="AN467" s="4">
        <v>0</v>
      </c>
      <c r="AO467" s="4">
        <v>0</v>
      </c>
      <c r="AP467" s="3" t="s">
        <v>58</v>
      </c>
      <c r="AQ467" s="3" t="s">
        <v>58</v>
      </c>
      <c r="AS467" s="6" t="str">
        <f>HYPERLINK("https://creighton-primo.hosted.exlibrisgroup.com/primo-explore/search?tab=default_tab&amp;search_scope=EVERYTHING&amp;vid=01CRU&amp;lang=en_US&amp;offset=0&amp;query=any,contains,991004920149702656","Catalog Record")</f>
        <v>Catalog Record</v>
      </c>
      <c r="AT467" s="6" t="str">
        <f>HYPERLINK("http://www.worldcat.org/oclc/14360977","WorldCat Record")</f>
        <v>WorldCat Record</v>
      </c>
      <c r="AU467" s="3" t="s">
        <v>5991</v>
      </c>
      <c r="AV467" s="3" t="s">
        <v>5992</v>
      </c>
      <c r="AW467" s="3" t="s">
        <v>5993</v>
      </c>
      <c r="AX467" s="3" t="s">
        <v>5993</v>
      </c>
      <c r="AY467" s="3" t="s">
        <v>5994</v>
      </c>
      <c r="AZ467" s="3" t="s">
        <v>75</v>
      </c>
      <c r="BB467" s="3" t="s">
        <v>5995</v>
      </c>
      <c r="BC467" s="3" t="s">
        <v>5996</v>
      </c>
      <c r="BD467" s="3" t="s">
        <v>5997</v>
      </c>
    </row>
    <row r="468" spans="1:56" ht="39" customHeight="1" x14ac:dyDescent="0.25">
      <c r="A468" s="7" t="s">
        <v>58</v>
      </c>
      <c r="B468" s="2" t="s">
        <v>5998</v>
      </c>
      <c r="C468" s="2" t="s">
        <v>5999</v>
      </c>
      <c r="D468" s="2" t="s">
        <v>6000</v>
      </c>
      <c r="F468" s="3" t="s">
        <v>58</v>
      </c>
      <c r="G468" s="3" t="s">
        <v>59</v>
      </c>
      <c r="H468" s="3" t="s">
        <v>58</v>
      </c>
      <c r="I468" s="3" t="s">
        <v>58</v>
      </c>
      <c r="J468" s="3" t="s">
        <v>60</v>
      </c>
      <c r="K468" s="2" t="s">
        <v>6001</v>
      </c>
      <c r="L468" s="2" t="s">
        <v>6002</v>
      </c>
      <c r="M468" s="3" t="s">
        <v>1936</v>
      </c>
      <c r="O468" s="3" t="s">
        <v>65</v>
      </c>
      <c r="P468" s="3" t="s">
        <v>186</v>
      </c>
      <c r="R468" s="3" t="s">
        <v>68</v>
      </c>
      <c r="S468" s="4">
        <v>2</v>
      </c>
      <c r="T468" s="4">
        <v>2</v>
      </c>
      <c r="U468" s="5" t="s">
        <v>6003</v>
      </c>
      <c r="V468" s="5" t="s">
        <v>6003</v>
      </c>
      <c r="W468" s="5" t="s">
        <v>5748</v>
      </c>
      <c r="X468" s="5" t="s">
        <v>5748</v>
      </c>
      <c r="Y468" s="4">
        <v>1461</v>
      </c>
      <c r="Z468" s="4">
        <v>1331</v>
      </c>
      <c r="AA468" s="4">
        <v>1388</v>
      </c>
      <c r="AB468" s="4">
        <v>13</v>
      </c>
      <c r="AC468" s="4">
        <v>13</v>
      </c>
      <c r="AD468" s="4">
        <v>55</v>
      </c>
      <c r="AE468" s="4">
        <v>57</v>
      </c>
      <c r="AF468" s="4">
        <v>24</v>
      </c>
      <c r="AG468" s="4">
        <v>25</v>
      </c>
      <c r="AH468" s="4">
        <v>10</v>
      </c>
      <c r="AI468" s="4">
        <v>10</v>
      </c>
      <c r="AJ468" s="4">
        <v>24</v>
      </c>
      <c r="AK468" s="4">
        <v>26</v>
      </c>
      <c r="AL468" s="4">
        <v>9</v>
      </c>
      <c r="AM468" s="4">
        <v>9</v>
      </c>
      <c r="AN468" s="4">
        <v>0</v>
      </c>
      <c r="AO468" s="4">
        <v>0</v>
      </c>
      <c r="AP468" s="3" t="s">
        <v>58</v>
      </c>
      <c r="AQ468" s="3" t="s">
        <v>58</v>
      </c>
      <c r="AR468" s="6" t="str">
        <f>HYPERLINK("http://catalog.hathitrust.org/Record/001414621","HathiTrust Record")</f>
        <v>HathiTrust Record</v>
      </c>
      <c r="AS468" s="6" t="str">
        <f>HYPERLINK("https://creighton-primo.hosted.exlibrisgroup.com/primo-explore/search?tab=default_tab&amp;search_scope=EVERYTHING&amp;vid=01CRU&amp;lang=en_US&amp;offset=0&amp;query=any,contains,991002460199702656","Catalog Record")</f>
        <v>Catalog Record</v>
      </c>
      <c r="AT468" s="6" t="str">
        <f>HYPERLINK("http://www.worldcat.org/oclc/355702","WorldCat Record")</f>
        <v>WorldCat Record</v>
      </c>
      <c r="AU468" s="3" t="s">
        <v>6004</v>
      </c>
      <c r="AV468" s="3" t="s">
        <v>6005</v>
      </c>
      <c r="AW468" s="3" t="s">
        <v>6006</v>
      </c>
      <c r="AX468" s="3" t="s">
        <v>6006</v>
      </c>
      <c r="AY468" s="3" t="s">
        <v>6007</v>
      </c>
      <c r="AZ468" s="3" t="s">
        <v>75</v>
      </c>
      <c r="BC468" s="3" t="s">
        <v>6008</v>
      </c>
      <c r="BD468" s="3" t="s">
        <v>6009</v>
      </c>
    </row>
    <row r="469" spans="1:56" ht="39" customHeight="1" x14ac:dyDescent="0.25">
      <c r="A469" s="7" t="s">
        <v>58</v>
      </c>
      <c r="B469" s="2" t="s">
        <v>6010</v>
      </c>
      <c r="C469" s="2" t="s">
        <v>6011</v>
      </c>
      <c r="D469" s="2" t="s">
        <v>6012</v>
      </c>
      <c r="F469" s="3" t="s">
        <v>58</v>
      </c>
      <c r="G469" s="3" t="s">
        <v>59</v>
      </c>
      <c r="H469" s="3" t="s">
        <v>58</v>
      </c>
      <c r="I469" s="3" t="s">
        <v>58</v>
      </c>
      <c r="J469" s="3" t="s">
        <v>60</v>
      </c>
      <c r="K469" s="2" t="s">
        <v>6001</v>
      </c>
      <c r="L469" s="2" t="s">
        <v>6013</v>
      </c>
      <c r="M469" s="3" t="s">
        <v>5411</v>
      </c>
      <c r="O469" s="3" t="s">
        <v>65</v>
      </c>
      <c r="P469" s="3" t="s">
        <v>186</v>
      </c>
      <c r="R469" s="3" t="s">
        <v>68</v>
      </c>
      <c r="S469" s="4">
        <v>3</v>
      </c>
      <c r="T469" s="4">
        <v>3</v>
      </c>
      <c r="U469" s="5" t="s">
        <v>6014</v>
      </c>
      <c r="V469" s="5" t="s">
        <v>6014</v>
      </c>
      <c r="W469" s="5" t="s">
        <v>5748</v>
      </c>
      <c r="X469" s="5" t="s">
        <v>5748</v>
      </c>
      <c r="Y469" s="4">
        <v>1254</v>
      </c>
      <c r="Z469" s="4">
        <v>1160</v>
      </c>
      <c r="AA469" s="4">
        <v>1321</v>
      </c>
      <c r="AB469" s="4">
        <v>10</v>
      </c>
      <c r="AC469" s="4">
        <v>14</v>
      </c>
      <c r="AD469" s="4">
        <v>49</v>
      </c>
      <c r="AE469" s="4">
        <v>55</v>
      </c>
      <c r="AF469" s="4">
        <v>24</v>
      </c>
      <c r="AG469" s="4">
        <v>25</v>
      </c>
      <c r="AH469" s="4">
        <v>8</v>
      </c>
      <c r="AI469" s="4">
        <v>10</v>
      </c>
      <c r="AJ469" s="4">
        <v>20</v>
      </c>
      <c r="AK469" s="4">
        <v>23</v>
      </c>
      <c r="AL469" s="4">
        <v>8</v>
      </c>
      <c r="AM469" s="4">
        <v>10</v>
      </c>
      <c r="AN469" s="4">
        <v>0</v>
      </c>
      <c r="AO469" s="4">
        <v>0</v>
      </c>
      <c r="AP469" s="3" t="s">
        <v>58</v>
      </c>
      <c r="AQ469" s="3" t="s">
        <v>132</v>
      </c>
      <c r="AR469" s="6" t="str">
        <f>HYPERLINK("http://catalog.hathitrust.org/Record/001401005","HathiTrust Record")</f>
        <v>HathiTrust Record</v>
      </c>
      <c r="AS469" s="6" t="str">
        <f>HYPERLINK("https://creighton-primo.hosted.exlibrisgroup.com/primo-explore/search?tab=default_tab&amp;search_scope=EVERYTHING&amp;vid=01CRU&amp;lang=en_US&amp;offset=0&amp;query=any,contains,991002099229702656","Catalog Record")</f>
        <v>Catalog Record</v>
      </c>
      <c r="AT469" s="6" t="str">
        <f>HYPERLINK("http://www.worldcat.org/oclc/266150","WorldCat Record")</f>
        <v>WorldCat Record</v>
      </c>
      <c r="AU469" s="3" t="s">
        <v>6015</v>
      </c>
      <c r="AV469" s="3" t="s">
        <v>6016</v>
      </c>
      <c r="AW469" s="3" t="s">
        <v>6017</v>
      </c>
      <c r="AX469" s="3" t="s">
        <v>6017</v>
      </c>
      <c r="AY469" s="3" t="s">
        <v>6018</v>
      </c>
      <c r="AZ469" s="3" t="s">
        <v>75</v>
      </c>
      <c r="BC469" s="3" t="s">
        <v>6019</v>
      </c>
      <c r="BD469" s="3" t="s">
        <v>6020</v>
      </c>
    </row>
    <row r="470" spans="1:56" ht="39" customHeight="1" x14ac:dyDescent="0.25">
      <c r="A470" s="7" t="s">
        <v>58</v>
      </c>
      <c r="B470" s="2" t="s">
        <v>6021</v>
      </c>
      <c r="C470" s="2" t="s">
        <v>6022</v>
      </c>
      <c r="D470" s="2" t="s">
        <v>6023</v>
      </c>
      <c r="F470" s="3" t="s">
        <v>58</v>
      </c>
      <c r="G470" s="3" t="s">
        <v>59</v>
      </c>
      <c r="H470" s="3" t="s">
        <v>58</v>
      </c>
      <c r="I470" s="3" t="s">
        <v>58</v>
      </c>
      <c r="J470" s="3" t="s">
        <v>60</v>
      </c>
      <c r="K470" s="2" t="s">
        <v>6024</v>
      </c>
      <c r="L470" s="2" t="s">
        <v>6025</v>
      </c>
      <c r="M470" s="3" t="s">
        <v>374</v>
      </c>
      <c r="O470" s="3" t="s">
        <v>65</v>
      </c>
      <c r="P470" s="3" t="s">
        <v>245</v>
      </c>
      <c r="R470" s="3" t="s">
        <v>68</v>
      </c>
      <c r="S470" s="4">
        <v>2</v>
      </c>
      <c r="T470" s="4">
        <v>2</v>
      </c>
      <c r="U470" s="5" t="s">
        <v>6026</v>
      </c>
      <c r="V470" s="5" t="s">
        <v>6026</v>
      </c>
      <c r="W470" s="5" t="s">
        <v>6027</v>
      </c>
      <c r="X470" s="5" t="s">
        <v>6027</v>
      </c>
      <c r="Y470" s="4">
        <v>145</v>
      </c>
      <c r="Z470" s="4">
        <v>118</v>
      </c>
      <c r="AA470" s="4">
        <v>132</v>
      </c>
      <c r="AB470" s="4">
        <v>2</v>
      </c>
      <c r="AC470" s="4">
        <v>2</v>
      </c>
      <c r="AD470" s="4">
        <v>11</v>
      </c>
      <c r="AE470" s="4">
        <v>11</v>
      </c>
      <c r="AF470" s="4">
        <v>5</v>
      </c>
      <c r="AG470" s="4">
        <v>5</v>
      </c>
      <c r="AH470" s="4">
        <v>3</v>
      </c>
      <c r="AI470" s="4">
        <v>3</v>
      </c>
      <c r="AJ470" s="4">
        <v>4</v>
      </c>
      <c r="AK470" s="4">
        <v>4</v>
      </c>
      <c r="AL470" s="4">
        <v>1</v>
      </c>
      <c r="AM470" s="4">
        <v>1</v>
      </c>
      <c r="AN470" s="4">
        <v>0</v>
      </c>
      <c r="AO470" s="4">
        <v>0</v>
      </c>
      <c r="AP470" s="3" t="s">
        <v>58</v>
      </c>
      <c r="AQ470" s="3" t="s">
        <v>58</v>
      </c>
      <c r="AS470" s="6" t="str">
        <f>HYPERLINK("https://creighton-primo.hosted.exlibrisgroup.com/primo-explore/search?tab=default_tab&amp;search_scope=EVERYTHING&amp;vid=01CRU&amp;lang=en_US&amp;offset=0&amp;query=any,contains,991002460109702656","Catalog Record")</f>
        <v>Catalog Record</v>
      </c>
      <c r="AT470" s="6" t="str">
        <f>HYPERLINK("http://www.worldcat.org/oclc/32051627","WorldCat Record")</f>
        <v>WorldCat Record</v>
      </c>
      <c r="AU470" s="3" t="s">
        <v>6028</v>
      </c>
      <c r="AV470" s="3" t="s">
        <v>6029</v>
      </c>
      <c r="AW470" s="3" t="s">
        <v>6030</v>
      </c>
      <c r="AX470" s="3" t="s">
        <v>6030</v>
      </c>
      <c r="AY470" s="3" t="s">
        <v>6031</v>
      </c>
      <c r="AZ470" s="3" t="s">
        <v>75</v>
      </c>
      <c r="BB470" s="3" t="s">
        <v>6032</v>
      </c>
      <c r="BC470" s="3" t="s">
        <v>6033</v>
      </c>
      <c r="BD470" s="3" t="s">
        <v>6034</v>
      </c>
    </row>
    <row r="471" spans="1:56" ht="39" customHeight="1" x14ac:dyDescent="0.25">
      <c r="A471" s="7" t="s">
        <v>58</v>
      </c>
      <c r="B471" s="2" t="s">
        <v>6035</v>
      </c>
      <c r="C471" s="2" t="s">
        <v>6036</v>
      </c>
      <c r="D471" s="2" t="s">
        <v>6037</v>
      </c>
      <c r="F471" s="3" t="s">
        <v>58</v>
      </c>
      <c r="G471" s="3" t="s">
        <v>59</v>
      </c>
      <c r="H471" s="3" t="s">
        <v>58</v>
      </c>
      <c r="I471" s="3" t="s">
        <v>58</v>
      </c>
      <c r="J471" s="3" t="s">
        <v>60</v>
      </c>
      <c r="K471" s="2" t="s">
        <v>6038</v>
      </c>
      <c r="L471" s="2" t="s">
        <v>6039</v>
      </c>
      <c r="M471" s="3" t="s">
        <v>871</v>
      </c>
      <c r="O471" s="3" t="s">
        <v>65</v>
      </c>
      <c r="P471" s="3" t="s">
        <v>492</v>
      </c>
      <c r="R471" s="3" t="s">
        <v>68</v>
      </c>
      <c r="S471" s="4">
        <v>2</v>
      </c>
      <c r="T471" s="4">
        <v>2</v>
      </c>
      <c r="U471" s="5" t="s">
        <v>5012</v>
      </c>
      <c r="V471" s="5" t="s">
        <v>5012</v>
      </c>
      <c r="W471" s="5" t="s">
        <v>5748</v>
      </c>
      <c r="X471" s="5" t="s">
        <v>5748</v>
      </c>
      <c r="Y471" s="4">
        <v>133</v>
      </c>
      <c r="Z471" s="4">
        <v>119</v>
      </c>
      <c r="AA471" s="4">
        <v>120</v>
      </c>
      <c r="AB471" s="4">
        <v>2</v>
      </c>
      <c r="AC471" s="4">
        <v>2</v>
      </c>
      <c r="AD471" s="4">
        <v>17</v>
      </c>
      <c r="AE471" s="4">
        <v>17</v>
      </c>
      <c r="AF471" s="4">
        <v>4</v>
      </c>
      <c r="AG471" s="4">
        <v>4</v>
      </c>
      <c r="AH471" s="4">
        <v>5</v>
      </c>
      <c r="AI471" s="4">
        <v>5</v>
      </c>
      <c r="AJ471" s="4">
        <v>13</v>
      </c>
      <c r="AK471" s="4">
        <v>13</v>
      </c>
      <c r="AL471" s="4">
        <v>0</v>
      </c>
      <c r="AM471" s="4">
        <v>0</v>
      </c>
      <c r="AN471" s="4">
        <v>0</v>
      </c>
      <c r="AO471" s="4">
        <v>0</v>
      </c>
      <c r="AP471" s="3" t="s">
        <v>58</v>
      </c>
      <c r="AQ471" s="3" t="s">
        <v>58</v>
      </c>
      <c r="AS471" s="6" t="str">
        <f>HYPERLINK("https://creighton-primo.hosted.exlibrisgroup.com/primo-explore/search?tab=default_tab&amp;search_scope=EVERYTHING&amp;vid=01CRU&amp;lang=en_US&amp;offset=0&amp;query=any,contains,991003153899702656","Catalog Record")</f>
        <v>Catalog Record</v>
      </c>
      <c r="AT471" s="6" t="str">
        <f>HYPERLINK("http://www.worldcat.org/oclc/693105","WorldCat Record")</f>
        <v>WorldCat Record</v>
      </c>
      <c r="AU471" s="3" t="s">
        <v>6040</v>
      </c>
      <c r="AV471" s="3" t="s">
        <v>6041</v>
      </c>
      <c r="AW471" s="3" t="s">
        <v>6042</v>
      </c>
      <c r="AX471" s="3" t="s">
        <v>6042</v>
      </c>
      <c r="AY471" s="3" t="s">
        <v>6043</v>
      </c>
      <c r="AZ471" s="3" t="s">
        <v>75</v>
      </c>
      <c r="BC471" s="3" t="s">
        <v>6044</v>
      </c>
      <c r="BD471" s="3" t="s">
        <v>6045</v>
      </c>
    </row>
    <row r="472" spans="1:56" ht="39" customHeight="1" x14ac:dyDescent="0.25">
      <c r="A472" s="7" t="s">
        <v>58</v>
      </c>
      <c r="B472" s="2" t="s">
        <v>6046</v>
      </c>
      <c r="C472" s="2" t="s">
        <v>6047</v>
      </c>
      <c r="D472" s="2" t="s">
        <v>6048</v>
      </c>
      <c r="F472" s="3" t="s">
        <v>58</v>
      </c>
      <c r="G472" s="3" t="s">
        <v>59</v>
      </c>
      <c r="H472" s="3" t="s">
        <v>58</v>
      </c>
      <c r="I472" s="3" t="s">
        <v>58</v>
      </c>
      <c r="J472" s="3" t="s">
        <v>60</v>
      </c>
      <c r="K472" s="2" t="s">
        <v>6049</v>
      </c>
      <c r="L472" s="2" t="s">
        <v>6050</v>
      </c>
      <c r="M472" s="3" t="s">
        <v>2179</v>
      </c>
      <c r="O472" s="3" t="s">
        <v>65</v>
      </c>
      <c r="P472" s="3" t="s">
        <v>954</v>
      </c>
      <c r="R472" s="3" t="s">
        <v>68</v>
      </c>
      <c r="S472" s="4">
        <v>6</v>
      </c>
      <c r="T472" s="4">
        <v>6</v>
      </c>
      <c r="U472" s="5" t="s">
        <v>6051</v>
      </c>
      <c r="V472" s="5" t="s">
        <v>6051</v>
      </c>
      <c r="W472" s="5" t="s">
        <v>5748</v>
      </c>
      <c r="X472" s="5" t="s">
        <v>5748</v>
      </c>
      <c r="Y472" s="4">
        <v>140</v>
      </c>
      <c r="Z472" s="4">
        <v>123</v>
      </c>
      <c r="AA472" s="4">
        <v>143</v>
      </c>
      <c r="AB472" s="4">
        <v>3</v>
      </c>
      <c r="AC472" s="4">
        <v>3</v>
      </c>
      <c r="AD472" s="4">
        <v>21</v>
      </c>
      <c r="AE472" s="4">
        <v>23</v>
      </c>
      <c r="AF472" s="4">
        <v>6</v>
      </c>
      <c r="AG472" s="4">
        <v>6</v>
      </c>
      <c r="AH472" s="4">
        <v>4</v>
      </c>
      <c r="AI472" s="4">
        <v>6</v>
      </c>
      <c r="AJ472" s="4">
        <v>15</v>
      </c>
      <c r="AK472" s="4">
        <v>17</v>
      </c>
      <c r="AL472" s="4">
        <v>1</v>
      </c>
      <c r="AM472" s="4">
        <v>1</v>
      </c>
      <c r="AN472" s="4">
        <v>0</v>
      </c>
      <c r="AO472" s="4">
        <v>0</v>
      </c>
      <c r="AP472" s="3" t="s">
        <v>58</v>
      </c>
      <c r="AQ472" s="3" t="s">
        <v>132</v>
      </c>
      <c r="AR472" s="6" t="str">
        <f>HYPERLINK("http://catalog.hathitrust.org/Record/001925582","HathiTrust Record")</f>
        <v>HathiTrust Record</v>
      </c>
      <c r="AS472" s="6" t="str">
        <f>HYPERLINK("https://creighton-primo.hosted.exlibrisgroup.com/primo-explore/search?tab=default_tab&amp;search_scope=EVERYTHING&amp;vid=01CRU&amp;lang=en_US&amp;offset=0&amp;query=any,contains,991003706899702656","Catalog Record")</f>
        <v>Catalog Record</v>
      </c>
      <c r="AT472" s="6" t="str">
        <f>HYPERLINK("http://www.worldcat.org/oclc/1344892","WorldCat Record")</f>
        <v>WorldCat Record</v>
      </c>
      <c r="AU472" s="3" t="s">
        <v>6052</v>
      </c>
      <c r="AV472" s="3" t="s">
        <v>6053</v>
      </c>
      <c r="AW472" s="3" t="s">
        <v>6054</v>
      </c>
      <c r="AX472" s="3" t="s">
        <v>6054</v>
      </c>
      <c r="AY472" s="3" t="s">
        <v>6055</v>
      </c>
      <c r="AZ472" s="3" t="s">
        <v>75</v>
      </c>
      <c r="BC472" s="3" t="s">
        <v>6056</v>
      </c>
      <c r="BD472" s="3" t="s">
        <v>6057</v>
      </c>
    </row>
    <row r="473" spans="1:56" ht="39" customHeight="1" x14ac:dyDescent="0.25">
      <c r="A473" s="7" t="s">
        <v>58</v>
      </c>
      <c r="B473" s="2" t="s">
        <v>6058</v>
      </c>
      <c r="C473" s="2" t="s">
        <v>6059</v>
      </c>
      <c r="D473" s="2" t="s">
        <v>6060</v>
      </c>
      <c r="F473" s="3" t="s">
        <v>58</v>
      </c>
      <c r="G473" s="3" t="s">
        <v>59</v>
      </c>
      <c r="H473" s="3" t="s">
        <v>58</v>
      </c>
      <c r="I473" s="3" t="s">
        <v>58</v>
      </c>
      <c r="J473" s="3" t="s">
        <v>60</v>
      </c>
      <c r="K473" s="2" t="s">
        <v>6061</v>
      </c>
      <c r="L473" s="2" t="s">
        <v>6062</v>
      </c>
      <c r="M473" s="3" t="s">
        <v>128</v>
      </c>
      <c r="O473" s="3" t="s">
        <v>65</v>
      </c>
      <c r="P473" s="3" t="s">
        <v>967</v>
      </c>
      <c r="R473" s="3" t="s">
        <v>68</v>
      </c>
      <c r="S473" s="4">
        <v>7</v>
      </c>
      <c r="T473" s="4">
        <v>7</v>
      </c>
      <c r="U473" s="5" t="s">
        <v>6063</v>
      </c>
      <c r="V473" s="5" t="s">
        <v>6063</v>
      </c>
      <c r="W473" s="5" t="s">
        <v>1020</v>
      </c>
      <c r="X473" s="5" t="s">
        <v>1020</v>
      </c>
      <c r="Y473" s="4">
        <v>66</v>
      </c>
      <c r="Z473" s="4">
        <v>53</v>
      </c>
      <c r="AA473" s="4">
        <v>53</v>
      </c>
      <c r="AB473" s="4">
        <v>1</v>
      </c>
      <c r="AC473" s="4">
        <v>1</v>
      </c>
      <c r="AD473" s="4">
        <v>6</v>
      </c>
      <c r="AE473" s="4">
        <v>6</v>
      </c>
      <c r="AF473" s="4">
        <v>1</v>
      </c>
      <c r="AG473" s="4">
        <v>1</v>
      </c>
      <c r="AH473" s="4">
        <v>1</v>
      </c>
      <c r="AI473" s="4">
        <v>1</v>
      </c>
      <c r="AJ473" s="4">
        <v>5</v>
      </c>
      <c r="AK473" s="4">
        <v>5</v>
      </c>
      <c r="AL473" s="4">
        <v>0</v>
      </c>
      <c r="AM473" s="4">
        <v>0</v>
      </c>
      <c r="AN473" s="4">
        <v>0</v>
      </c>
      <c r="AO473" s="4">
        <v>0</v>
      </c>
      <c r="AP473" s="3" t="s">
        <v>58</v>
      </c>
      <c r="AQ473" s="3" t="s">
        <v>58</v>
      </c>
      <c r="AS473" s="6" t="str">
        <f>HYPERLINK("https://creighton-primo.hosted.exlibrisgroup.com/primo-explore/search?tab=default_tab&amp;search_scope=EVERYTHING&amp;vid=01CRU&amp;lang=en_US&amp;offset=0&amp;query=any,contains,991004175189702656","Catalog Record")</f>
        <v>Catalog Record</v>
      </c>
      <c r="AT473" s="6" t="str">
        <f>HYPERLINK("http://www.worldcat.org/oclc/2595509","WorldCat Record")</f>
        <v>WorldCat Record</v>
      </c>
      <c r="AU473" s="3" t="s">
        <v>6064</v>
      </c>
      <c r="AV473" s="3" t="s">
        <v>6065</v>
      </c>
      <c r="AW473" s="3" t="s">
        <v>6066</v>
      </c>
      <c r="AX473" s="3" t="s">
        <v>6066</v>
      </c>
      <c r="AY473" s="3" t="s">
        <v>6067</v>
      </c>
      <c r="AZ473" s="3" t="s">
        <v>75</v>
      </c>
      <c r="BB473" s="3" t="s">
        <v>6068</v>
      </c>
      <c r="BC473" s="3" t="s">
        <v>6069</v>
      </c>
      <c r="BD473" s="3" t="s">
        <v>6070</v>
      </c>
    </row>
    <row r="474" spans="1:56" ht="39" customHeight="1" x14ac:dyDescent="0.25">
      <c r="A474" s="7" t="s">
        <v>58</v>
      </c>
      <c r="B474" s="2" t="s">
        <v>6071</v>
      </c>
      <c r="C474" s="2" t="s">
        <v>6072</v>
      </c>
      <c r="D474" s="2" t="s">
        <v>6073</v>
      </c>
      <c r="F474" s="3" t="s">
        <v>58</v>
      </c>
      <c r="G474" s="3" t="s">
        <v>59</v>
      </c>
      <c r="H474" s="3" t="s">
        <v>58</v>
      </c>
      <c r="I474" s="3" t="s">
        <v>58</v>
      </c>
      <c r="J474" s="3" t="s">
        <v>60</v>
      </c>
      <c r="K474" s="2" t="s">
        <v>6074</v>
      </c>
      <c r="L474" s="2" t="s">
        <v>6075</v>
      </c>
      <c r="O474" s="3" t="s">
        <v>65</v>
      </c>
      <c r="P474" s="3" t="s">
        <v>186</v>
      </c>
      <c r="R474" s="3" t="s">
        <v>68</v>
      </c>
      <c r="S474" s="4">
        <v>1</v>
      </c>
      <c r="T474" s="4">
        <v>1</v>
      </c>
      <c r="U474" s="5" t="s">
        <v>6076</v>
      </c>
      <c r="V474" s="5" t="s">
        <v>6076</v>
      </c>
      <c r="W474" s="5" t="s">
        <v>131</v>
      </c>
      <c r="X474" s="5" t="s">
        <v>131</v>
      </c>
      <c r="Y474" s="4">
        <v>14</v>
      </c>
      <c r="Z474" s="4">
        <v>11</v>
      </c>
      <c r="AA474" s="4">
        <v>198</v>
      </c>
      <c r="AB474" s="4">
        <v>1</v>
      </c>
      <c r="AC474" s="4">
        <v>2</v>
      </c>
      <c r="AD474" s="4">
        <v>3</v>
      </c>
      <c r="AE474" s="4">
        <v>18</v>
      </c>
      <c r="AF474" s="4">
        <v>0</v>
      </c>
      <c r="AG474" s="4">
        <v>1</v>
      </c>
      <c r="AH474" s="4">
        <v>1</v>
      </c>
      <c r="AI474" s="4">
        <v>8</v>
      </c>
      <c r="AJ474" s="4">
        <v>2</v>
      </c>
      <c r="AK474" s="4">
        <v>12</v>
      </c>
      <c r="AL474" s="4">
        <v>0</v>
      </c>
      <c r="AM474" s="4">
        <v>1</v>
      </c>
      <c r="AN474" s="4">
        <v>0</v>
      </c>
      <c r="AO474" s="4">
        <v>0</v>
      </c>
      <c r="AP474" s="3" t="s">
        <v>58</v>
      </c>
      <c r="AQ474" s="3" t="s">
        <v>58</v>
      </c>
      <c r="AS474" s="6" t="str">
        <f>HYPERLINK("https://creighton-primo.hosted.exlibrisgroup.com/primo-explore/search?tab=default_tab&amp;search_scope=EVERYTHING&amp;vid=01CRU&amp;lang=en_US&amp;offset=0&amp;query=any,contains,991000869339702656","Catalog Record")</f>
        <v>Catalog Record</v>
      </c>
      <c r="AT474" s="6" t="str">
        <f>HYPERLINK("http://www.worldcat.org/oclc/31472539","WorldCat Record")</f>
        <v>WorldCat Record</v>
      </c>
      <c r="AU474" s="3" t="s">
        <v>6077</v>
      </c>
      <c r="AV474" s="3" t="s">
        <v>6078</v>
      </c>
      <c r="AW474" s="3" t="s">
        <v>6079</v>
      </c>
      <c r="AX474" s="3" t="s">
        <v>6079</v>
      </c>
      <c r="AY474" s="3" t="s">
        <v>6080</v>
      </c>
      <c r="AZ474" s="3" t="s">
        <v>75</v>
      </c>
      <c r="BC474" s="3" t="s">
        <v>6081</v>
      </c>
      <c r="BD474" s="3" t="s">
        <v>6082</v>
      </c>
    </row>
    <row r="475" spans="1:56" ht="39" customHeight="1" x14ac:dyDescent="0.25">
      <c r="A475" s="7" t="s">
        <v>58</v>
      </c>
      <c r="B475" s="2" t="s">
        <v>6083</v>
      </c>
      <c r="C475" s="2" t="s">
        <v>6084</v>
      </c>
      <c r="D475" s="2" t="s">
        <v>6085</v>
      </c>
      <c r="F475" s="3" t="s">
        <v>58</v>
      </c>
      <c r="G475" s="3" t="s">
        <v>59</v>
      </c>
      <c r="H475" s="3" t="s">
        <v>58</v>
      </c>
      <c r="I475" s="3" t="s">
        <v>58</v>
      </c>
      <c r="J475" s="3" t="s">
        <v>60</v>
      </c>
      <c r="K475" s="2" t="s">
        <v>6086</v>
      </c>
      <c r="L475" s="2" t="s">
        <v>6087</v>
      </c>
      <c r="M475" s="3" t="s">
        <v>112</v>
      </c>
      <c r="O475" s="3" t="s">
        <v>65</v>
      </c>
      <c r="P475" s="3" t="s">
        <v>1017</v>
      </c>
      <c r="Q475" s="2" t="s">
        <v>6088</v>
      </c>
      <c r="R475" s="3" t="s">
        <v>68</v>
      </c>
      <c r="S475" s="4">
        <v>4</v>
      </c>
      <c r="T475" s="4">
        <v>4</v>
      </c>
      <c r="U475" s="5" t="s">
        <v>6089</v>
      </c>
      <c r="V475" s="5" t="s">
        <v>6089</v>
      </c>
      <c r="W475" s="5" t="s">
        <v>6090</v>
      </c>
      <c r="X475" s="5" t="s">
        <v>6090</v>
      </c>
      <c r="Y475" s="4">
        <v>67</v>
      </c>
      <c r="Z475" s="4">
        <v>66</v>
      </c>
      <c r="AA475" s="4">
        <v>66</v>
      </c>
      <c r="AB475" s="4">
        <v>1</v>
      </c>
      <c r="AC475" s="4">
        <v>1</v>
      </c>
      <c r="AD475" s="4">
        <v>13</v>
      </c>
      <c r="AE475" s="4">
        <v>13</v>
      </c>
      <c r="AF475" s="4">
        <v>3</v>
      </c>
      <c r="AG475" s="4">
        <v>3</v>
      </c>
      <c r="AH475" s="4">
        <v>4</v>
      </c>
      <c r="AI475" s="4">
        <v>4</v>
      </c>
      <c r="AJ475" s="4">
        <v>9</v>
      </c>
      <c r="AK475" s="4">
        <v>9</v>
      </c>
      <c r="AL475" s="4">
        <v>0</v>
      </c>
      <c r="AM475" s="4">
        <v>0</v>
      </c>
      <c r="AN475" s="4">
        <v>0</v>
      </c>
      <c r="AO475" s="4">
        <v>0</v>
      </c>
      <c r="AP475" s="3" t="s">
        <v>58</v>
      </c>
      <c r="AQ475" s="3" t="s">
        <v>58</v>
      </c>
      <c r="AS475" s="6" t="str">
        <f>HYPERLINK("https://creighton-primo.hosted.exlibrisgroup.com/primo-explore/search?tab=default_tab&amp;search_scope=EVERYTHING&amp;vid=01CRU&amp;lang=en_US&amp;offset=0&amp;query=any,contains,991002060899702656","Catalog Record")</f>
        <v>Catalog Record</v>
      </c>
      <c r="AT475" s="6" t="str">
        <f>HYPERLINK("http://www.worldcat.org/oclc/26366737","WorldCat Record")</f>
        <v>WorldCat Record</v>
      </c>
      <c r="AU475" s="3" t="s">
        <v>6091</v>
      </c>
      <c r="AV475" s="3" t="s">
        <v>6092</v>
      </c>
      <c r="AW475" s="3" t="s">
        <v>6093</v>
      </c>
      <c r="AX475" s="3" t="s">
        <v>6093</v>
      </c>
      <c r="AY475" s="3" t="s">
        <v>6094</v>
      </c>
      <c r="AZ475" s="3" t="s">
        <v>75</v>
      </c>
      <c r="BC475" s="3" t="s">
        <v>6095</v>
      </c>
      <c r="BD475" s="3" t="s">
        <v>6096</v>
      </c>
    </row>
    <row r="476" spans="1:56" ht="39" customHeight="1" x14ac:dyDescent="0.25">
      <c r="A476" s="7" t="s">
        <v>58</v>
      </c>
      <c r="B476" s="2" t="s">
        <v>6097</v>
      </c>
      <c r="C476" s="2" t="s">
        <v>6098</v>
      </c>
      <c r="D476" s="2" t="s">
        <v>6099</v>
      </c>
      <c r="F476" s="3" t="s">
        <v>58</v>
      </c>
      <c r="G476" s="3" t="s">
        <v>59</v>
      </c>
      <c r="H476" s="3" t="s">
        <v>58</v>
      </c>
      <c r="I476" s="3" t="s">
        <v>58</v>
      </c>
      <c r="J476" s="3" t="s">
        <v>60</v>
      </c>
      <c r="K476" s="2" t="s">
        <v>6100</v>
      </c>
      <c r="L476" s="2" t="s">
        <v>6101</v>
      </c>
      <c r="M476" s="3" t="s">
        <v>4281</v>
      </c>
      <c r="O476" s="3" t="s">
        <v>65</v>
      </c>
      <c r="P476" s="3" t="s">
        <v>113</v>
      </c>
      <c r="Q476" s="2" t="s">
        <v>6102</v>
      </c>
      <c r="R476" s="3" t="s">
        <v>68</v>
      </c>
      <c r="S476" s="4">
        <v>1</v>
      </c>
      <c r="T476" s="4">
        <v>1</v>
      </c>
      <c r="U476" s="5" t="s">
        <v>6103</v>
      </c>
      <c r="V476" s="5" t="s">
        <v>6103</v>
      </c>
      <c r="W476" s="5" t="s">
        <v>6103</v>
      </c>
      <c r="X476" s="5" t="s">
        <v>6103</v>
      </c>
      <c r="Y476" s="4">
        <v>70</v>
      </c>
      <c r="Z476" s="4">
        <v>69</v>
      </c>
      <c r="AA476" s="4">
        <v>69</v>
      </c>
      <c r="AB476" s="4">
        <v>1</v>
      </c>
      <c r="AC476" s="4">
        <v>1</v>
      </c>
      <c r="AD476" s="4">
        <v>9</v>
      </c>
      <c r="AE476" s="4">
        <v>9</v>
      </c>
      <c r="AF476" s="4">
        <v>2</v>
      </c>
      <c r="AG476" s="4">
        <v>2</v>
      </c>
      <c r="AH476" s="4">
        <v>2</v>
      </c>
      <c r="AI476" s="4">
        <v>2</v>
      </c>
      <c r="AJ476" s="4">
        <v>7</v>
      </c>
      <c r="AK476" s="4">
        <v>7</v>
      </c>
      <c r="AL476" s="4">
        <v>0</v>
      </c>
      <c r="AM476" s="4">
        <v>0</v>
      </c>
      <c r="AN476" s="4">
        <v>0</v>
      </c>
      <c r="AO476" s="4">
        <v>0</v>
      </c>
      <c r="AP476" s="3" t="s">
        <v>58</v>
      </c>
      <c r="AQ476" s="3" t="s">
        <v>58</v>
      </c>
      <c r="AS476" s="6" t="str">
        <f>HYPERLINK("https://creighton-primo.hosted.exlibrisgroup.com/primo-explore/search?tab=default_tab&amp;search_scope=EVERYTHING&amp;vid=01CRU&amp;lang=en_US&amp;offset=0&amp;query=any,contains,991004381349702656","Catalog Record")</f>
        <v>Catalog Record</v>
      </c>
      <c r="AT476" s="6" t="str">
        <f>HYPERLINK("http://www.worldcat.org/oclc/56140579","WorldCat Record")</f>
        <v>WorldCat Record</v>
      </c>
      <c r="AU476" s="3" t="s">
        <v>6104</v>
      </c>
      <c r="AV476" s="3" t="s">
        <v>6105</v>
      </c>
      <c r="AW476" s="3" t="s">
        <v>6106</v>
      </c>
      <c r="AX476" s="3" t="s">
        <v>6106</v>
      </c>
      <c r="AY476" s="3" t="s">
        <v>6107</v>
      </c>
      <c r="AZ476" s="3" t="s">
        <v>75</v>
      </c>
      <c r="BB476" s="3" t="s">
        <v>6108</v>
      </c>
      <c r="BC476" s="3" t="s">
        <v>6109</v>
      </c>
      <c r="BD476" s="3" t="s">
        <v>6110</v>
      </c>
    </row>
    <row r="477" spans="1:56" ht="39" customHeight="1" x14ac:dyDescent="0.25">
      <c r="A477" s="7" t="s">
        <v>58</v>
      </c>
      <c r="B477" s="2" t="s">
        <v>6111</v>
      </c>
      <c r="C477" s="2" t="s">
        <v>6112</v>
      </c>
      <c r="D477" s="2" t="s">
        <v>6113</v>
      </c>
      <c r="F477" s="3" t="s">
        <v>58</v>
      </c>
      <c r="G477" s="3" t="s">
        <v>59</v>
      </c>
      <c r="H477" s="3" t="s">
        <v>58</v>
      </c>
      <c r="I477" s="3" t="s">
        <v>58</v>
      </c>
      <c r="J477" s="3" t="s">
        <v>60</v>
      </c>
      <c r="L477" s="2" t="s">
        <v>6114</v>
      </c>
      <c r="M477" s="3" t="s">
        <v>966</v>
      </c>
      <c r="O477" s="3" t="s">
        <v>65</v>
      </c>
      <c r="P477" s="3" t="s">
        <v>1345</v>
      </c>
      <c r="Q477" s="2" t="s">
        <v>6115</v>
      </c>
      <c r="R477" s="3" t="s">
        <v>68</v>
      </c>
      <c r="S477" s="4">
        <v>2</v>
      </c>
      <c r="T477" s="4">
        <v>2</v>
      </c>
      <c r="U477" s="5" t="s">
        <v>6116</v>
      </c>
      <c r="V477" s="5" t="s">
        <v>6116</v>
      </c>
      <c r="W477" s="5" t="s">
        <v>6117</v>
      </c>
      <c r="X477" s="5" t="s">
        <v>6117</v>
      </c>
      <c r="Y477" s="4">
        <v>161</v>
      </c>
      <c r="Z477" s="4">
        <v>128</v>
      </c>
      <c r="AA477" s="4">
        <v>128</v>
      </c>
      <c r="AB477" s="4">
        <v>1</v>
      </c>
      <c r="AC477" s="4">
        <v>1</v>
      </c>
      <c r="AD477" s="4">
        <v>20</v>
      </c>
      <c r="AE477" s="4">
        <v>20</v>
      </c>
      <c r="AF477" s="4">
        <v>8</v>
      </c>
      <c r="AG477" s="4">
        <v>8</v>
      </c>
      <c r="AH477" s="4">
        <v>3</v>
      </c>
      <c r="AI477" s="4">
        <v>3</v>
      </c>
      <c r="AJ477" s="4">
        <v>17</v>
      </c>
      <c r="AK477" s="4">
        <v>17</v>
      </c>
      <c r="AL477" s="4">
        <v>0</v>
      </c>
      <c r="AM477" s="4">
        <v>0</v>
      </c>
      <c r="AN477" s="4">
        <v>0</v>
      </c>
      <c r="AO477" s="4">
        <v>0</v>
      </c>
      <c r="AP477" s="3" t="s">
        <v>58</v>
      </c>
      <c r="AQ477" s="3" t="s">
        <v>58</v>
      </c>
      <c r="AS477" s="6" t="str">
        <f>HYPERLINK("https://creighton-primo.hosted.exlibrisgroup.com/primo-explore/search?tab=default_tab&amp;search_scope=EVERYTHING&amp;vid=01CRU&amp;lang=en_US&amp;offset=0&amp;query=any,contains,991002246179702656","Catalog Record")</f>
        <v>Catalog Record</v>
      </c>
      <c r="AT477" s="6" t="str">
        <f>HYPERLINK("http://www.worldcat.org/oclc/28965321","WorldCat Record")</f>
        <v>WorldCat Record</v>
      </c>
      <c r="AU477" s="3" t="s">
        <v>6118</v>
      </c>
      <c r="AV477" s="3" t="s">
        <v>6119</v>
      </c>
      <c r="AW477" s="3" t="s">
        <v>6120</v>
      </c>
      <c r="AX477" s="3" t="s">
        <v>6120</v>
      </c>
      <c r="AY477" s="3" t="s">
        <v>6121</v>
      </c>
      <c r="AZ477" s="3" t="s">
        <v>75</v>
      </c>
      <c r="BB477" s="3" t="s">
        <v>6122</v>
      </c>
      <c r="BC477" s="3" t="s">
        <v>6123</v>
      </c>
      <c r="BD477" s="3" t="s">
        <v>6124</v>
      </c>
    </row>
    <row r="478" spans="1:56" ht="39" customHeight="1" x14ac:dyDescent="0.25">
      <c r="A478" s="7" t="s">
        <v>58</v>
      </c>
      <c r="B478" s="2" t="s">
        <v>6125</v>
      </c>
      <c r="C478" s="2" t="s">
        <v>6126</v>
      </c>
      <c r="D478" s="2" t="s">
        <v>6127</v>
      </c>
      <c r="F478" s="3" t="s">
        <v>58</v>
      </c>
      <c r="G478" s="3" t="s">
        <v>59</v>
      </c>
      <c r="H478" s="3" t="s">
        <v>58</v>
      </c>
      <c r="I478" s="3" t="s">
        <v>58</v>
      </c>
      <c r="J478" s="3" t="s">
        <v>60</v>
      </c>
      <c r="K478" s="2" t="s">
        <v>5078</v>
      </c>
      <c r="L478" s="2" t="s">
        <v>6128</v>
      </c>
      <c r="M478" s="3" t="s">
        <v>1046</v>
      </c>
      <c r="O478" s="3" t="s">
        <v>65</v>
      </c>
      <c r="P478" s="3" t="s">
        <v>304</v>
      </c>
      <c r="R478" s="3" t="s">
        <v>68</v>
      </c>
      <c r="S478" s="4">
        <v>1</v>
      </c>
      <c r="T478" s="4">
        <v>1</v>
      </c>
      <c r="U478" s="5" t="s">
        <v>6129</v>
      </c>
      <c r="V478" s="5" t="s">
        <v>6129</v>
      </c>
      <c r="W478" s="5" t="s">
        <v>6129</v>
      </c>
      <c r="X478" s="5" t="s">
        <v>6129</v>
      </c>
      <c r="Y478" s="4">
        <v>219</v>
      </c>
      <c r="Z478" s="4">
        <v>180</v>
      </c>
      <c r="AA478" s="4">
        <v>186</v>
      </c>
      <c r="AB478" s="4">
        <v>3</v>
      </c>
      <c r="AC478" s="4">
        <v>3</v>
      </c>
      <c r="AD478" s="4">
        <v>13</v>
      </c>
      <c r="AE478" s="4">
        <v>13</v>
      </c>
      <c r="AF478" s="4">
        <v>3</v>
      </c>
      <c r="AG478" s="4">
        <v>3</v>
      </c>
      <c r="AH478" s="4">
        <v>2</v>
      </c>
      <c r="AI478" s="4">
        <v>2</v>
      </c>
      <c r="AJ478" s="4">
        <v>10</v>
      </c>
      <c r="AK478" s="4">
        <v>10</v>
      </c>
      <c r="AL478" s="4">
        <v>1</v>
      </c>
      <c r="AM478" s="4">
        <v>1</v>
      </c>
      <c r="AN478" s="4">
        <v>0</v>
      </c>
      <c r="AO478" s="4">
        <v>0</v>
      </c>
      <c r="AP478" s="3" t="s">
        <v>58</v>
      </c>
      <c r="AQ478" s="3" t="s">
        <v>58</v>
      </c>
      <c r="AS478" s="6" t="str">
        <f>HYPERLINK("https://creighton-primo.hosted.exlibrisgroup.com/primo-explore/search?tab=default_tab&amp;search_scope=EVERYTHING&amp;vid=01CRU&amp;lang=en_US&amp;offset=0&amp;query=any,contains,991005279069702656","Catalog Record")</f>
        <v>Catalog Record</v>
      </c>
      <c r="AT478" s="6" t="str">
        <f>HYPERLINK("http://www.worldcat.org/oclc/13127399","WorldCat Record")</f>
        <v>WorldCat Record</v>
      </c>
      <c r="AU478" s="3" t="s">
        <v>6130</v>
      </c>
      <c r="AV478" s="3" t="s">
        <v>6131</v>
      </c>
      <c r="AW478" s="3" t="s">
        <v>6132</v>
      </c>
      <c r="AX478" s="3" t="s">
        <v>6132</v>
      </c>
      <c r="AY478" s="3" t="s">
        <v>6133</v>
      </c>
      <c r="AZ478" s="3" t="s">
        <v>75</v>
      </c>
      <c r="BB478" s="3" t="s">
        <v>6134</v>
      </c>
      <c r="BC478" s="3" t="s">
        <v>6135</v>
      </c>
      <c r="BD478" s="3" t="s">
        <v>6136</v>
      </c>
    </row>
    <row r="479" spans="1:56" ht="39" customHeight="1" x14ac:dyDescent="0.25">
      <c r="A479" s="7" t="s">
        <v>58</v>
      </c>
      <c r="B479" s="2" t="s">
        <v>6137</v>
      </c>
      <c r="C479" s="2" t="s">
        <v>6138</v>
      </c>
      <c r="D479" s="2" t="s">
        <v>6139</v>
      </c>
      <c r="F479" s="3" t="s">
        <v>58</v>
      </c>
      <c r="G479" s="3" t="s">
        <v>59</v>
      </c>
      <c r="H479" s="3" t="s">
        <v>58</v>
      </c>
      <c r="I479" s="3" t="s">
        <v>58</v>
      </c>
      <c r="J479" s="3" t="s">
        <v>60</v>
      </c>
      <c r="K479" s="2" t="s">
        <v>6140</v>
      </c>
      <c r="L479" s="2" t="s">
        <v>6141</v>
      </c>
      <c r="M479" s="3" t="s">
        <v>781</v>
      </c>
      <c r="O479" s="3" t="s">
        <v>65</v>
      </c>
      <c r="P479" s="3" t="s">
        <v>477</v>
      </c>
      <c r="R479" s="3" t="s">
        <v>68</v>
      </c>
      <c r="S479" s="4">
        <v>2</v>
      </c>
      <c r="T479" s="4">
        <v>2</v>
      </c>
      <c r="U479" s="5" t="s">
        <v>6142</v>
      </c>
      <c r="V479" s="5" t="s">
        <v>6142</v>
      </c>
      <c r="W479" s="5" t="s">
        <v>1623</v>
      </c>
      <c r="X479" s="5" t="s">
        <v>1623</v>
      </c>
      <c r="Y479" s="4">
        <v>197</v>
      </c>
      <c r="Z479" s="4">
        <v>165</v>
      </c>
      <c r="AA479" s="4">
        <v>165</v>
      </c>
      <c r="AB479" s="4">
        <v>3</v>
      </c>
      <c r="AC479" s="4">
        <v>3</v>
      </c>
      <c r="AD479" s="4">
        <v>4</v>
      </c>
      <c r="AE479" s="4">
        <v>4</v>
      </c>
      <c r="AF479" s="4">
        <v>1</v>
      </c>
      <c r="AG479" s="4">
        <v>1</v>
      </c>
      <c r="AH479" s="4">
        <v>0</v>
      </c>
      <c r="AI479" s="4">
        <v>0</v>
      </c>
      <c r="AJ479" s="4">
        <v>3</v>
      </c>
      <c r="AK479" s="4">
        <v>3</v>
      </c>
      <c r="AL479" s="4">
        <v>1</v>
      </c>
      <c r="AM479" s="4">
        <v>1</v>
      </c>
      <c r="AN479" s="4">
        <v>0</v>
      </c>
      <c r="AO479" s="4">
        <v>0</v>
      </c>
      <c r="AP479" s="3" t="s">
        <v>58</v>
      </c>
      <c r="AQ479" s="3" t="s">
        <v>58</v>
      </c>
      <c r="AS479" s="6" t="str">
        <f>HYPERLINK("https://creighton-primo.hosted.exlibrisgroup.com/primo-explore/search?tab=default_tab&amp;search_scope=EVERYTHING&amp;vid=01CRU&amp;lang=en_US&amp;offset=0&amp;query=any,contains,991000549789702656","Catalog Record")</f>
        <v>Catalog Record</v>
      </c>
      <c r="AT479" s="6" t="str">
        <f>HYPERLINK("http://www.worldcat.org/oclc/11532541","WorldCat Record")</f>
        <v>WorldCat Record</v>
      </c>
      <c r="AU479" s="3" t="s">
        <v>6143</v>
      </c>
      <c r="AV479" s="3" t="s">
        <v>6144</v>
      </c>
      <c r="AW479" s="3" t="s">
        <v>6145</v>
      </c>
      <c r="AX479" s="3" t="s">
        <v>6145</v>
      </c>
      <c r="AY479" s="3" t="s">
        <v>6146</v>
      </c>
      <c r="AZ479" s="3" t="s">
        <v>75</v>
      </c>
      <c r="BB479" s="3" t="s">
        <v>6147</v>
      </c>
      <c r="BC479" s="3" t="s">
        <v>6148</v>
      </c>
      <c r="BD479" s="3" t="s">
        <v>6149</v>
      </c>
    </row>
    <row r="480" spans="1:56" ht="39" customHeight="1" x14ac:dyDescent="0.25">
      <c r="A480" s="7" t="s">
        <v>58</v>
      </c>
      <c r="B480" s="2" t="s">
        <v>6150</v>
      </c>
      <c r="C480" s="2" t="s">
        <v>6151</v>
      </c>
      <c r="D480" s="2" t="s">
        <v>6152</v>
      </c>
      <c r="F480" s="3" t="s">
        <v>58</v>
      </c>
      <c r="G480" s="3" t="s">
        <v>59</v>
      </c>
      <c r="H480" s="3" t="s">
        <v>58</v>
      </c>
      <c r="I480" s="3" t="s">
        <v>58</v>
      </c>
      <c r="J480" s="3" t="s">
        <v>60</v>
      </c>
      <c r="L480" s="2" t="s">
        <v>6153</v>
      </c>
      <c r="M480" s="3" t="s">
        <v>631</v>
      </c>
      <c r="O480" s="3" t="s">
        <v>65</v>
      </c>
      <c r="P480" s="3" t="s">
        <v>186</v>
      </c>
      <c r="R480" s="3" t="s">
        <v>68</v>
      </c>
      <c r="S480" s="4">
        <v>4</v>
      </c>
      <c r="T480" s="4">
        <v>4</v>
      </c>
      <c r="U480" s="5" t="s">
        <v>6154</v>
      </c>
      <c r="V480" s="5" t="s">
        <v>6154</v>
      </c>
      <c r="W480" s="5" t="s">
        <v>5748</v>
      </c>
      <c r="X480" s="5" t="s">
        <v>5748</v>
      </c>
      <c r="Y480" s="4">
        <v>446</v>
      </c>
      <c r="Z480" s="4">
        <v>401</v>
      </c>
      <c r="AA480" s="4">
        <v>408</v>
      </c>
      <c r="AB480" s="4">
        <v>5</v>
      </c>
      <c r="AC480" s="4">
        <v>5</v>
      </c>
      <c r="AD480" s="4">
        <v>24</v>
      </c>
      <c r="AE480" s="4">
        <v>24</v>
      </c>
      <c r="AF480" s="4">
        <v>9</v>
      </c>
      <c r="AG480" s="4">
        <v>9</v>
      </c>
      <c r="AH480" s="4">
        <v>5</v>
      </c>
      <c r="AI480" s="4">
        <v>5</v>
      </c>
      <c r="AJ480" s="4">
        <v>13</v>
      </c>
      <c r="AK480" s="4">
        <v>13</v>
      </c>
      <c r="AL480" s="4">
        <v>3</v>
      </c>
      <c r="AM480" s="4">
        <v>3</v>
      </c>
      <c r="AN480" s="4">
        <v>0</v>
      </c>
      <c r="AO480" s="4">
        <v>0</v>
      </c>
      <c r="AP480" s="3" t="s">
        <v>58</v>
      </c>
      <c r="AQ480" s="3" t="s">
        <v>132</v>
      </c>
      <c r="AR480" s="6" t="str">
        <f>HYPERLINK("http://catalog.hathitrust.org/Record/000042613","HathiTrust Record")</f>
        <v>HathiTrust Record</v>
      </c>
      <c r="AS480" s="6" t="str">
        <f>HYPERLINK("https://creighton-primo.hosted.exlibrisgroup.com/primo-explore/search?tab=default_tab&amp;search_scope=EVERYTHING&amp;vid=01CRU&amp;lang=en_US&amp;offset=0&amp;query=any,contains,991003718359702656","Catalog Record")</f>
        <v>Catalog Record</v>
      </c>
      <c r="AT480" s="6" t="str">
        <f>HYPERLINK("http://www.worldcat.org/oclc/1364006","WorldCat Record")</f>
        <v>WorldCat Record</v>
      </c>
      <c r="AU480" s="3" t="s">
        <v>6155</v>
      </c>
      <c r="AV480" s="3" t="s">
        <v>6156</v>
      </c>
      <c r="AW480" s="3" t="s">
        <v>6157</v>
      </c>
      <c r="AX480" s="3" t="s">
        <v>6157</v>
      </c>
      <c r="AY480" s="3" t="s">
        <v>6158</v>
      </c>
      <c r="AZ480" s="3" t="s">
        <v>75</v>
      </c>
      <c r="BB480" s="3" t="s">
        <v>6159</v>
      </c>
      <c r="BC480" s="3" t="s">
        <v>6160</v>
      </c>
      <c r="BD480" s="3" t="s">
        <v>6161</v>
      </c>
    </row>
    <row r="481" spans="1:56" ht="39" customHeight="1" x14ac:dyDescent="0.25">
      <c r="A481" s="7" t="s">
        <v>58</v>
      </c>
      <c r="B481" s="2" t="s">
        <v>6162</v>
      </c>
      <c r="C481" s="2" t="s">
        <v>6163</v>
      </c>
      <c r="D481" s="2" t="s">
        <v>6164</v>
      </c>
      <c r="F481" s="3" t="s">
        <v>58</v>
      </c>
      <c r="G481" s="3" t="s">
        <v>59</v>
      </c>
      <c r="H481" s="3" t="s">
        <v>58</v>
      </c>
      <c r="I481" s="3" t="s">
        <v>58</v>
      </c>
      <c r="J481" s="3" t="s">
        <v>60</v>
      </c>
      <c r="K481" s="2" t="s">
        <v>6165</v>
      </c>
      <c r="L481" s="2" t="s">
        <v>6166</v>
      </c>
      <c r="M481" s="3" t="s">
        <v>544</v>
      </c>
      <c r="O481" s="3" t="s">
        <v>65</v>
      </c>
      <c r="P481" s="3" t="s">
        <v>186</v>
      </c>
      <c r="R481" s="3" t="s">
        <v>68</v>
      </c>
      <c r="S481" s="4">
        <v>4</v>
      </c>
      <c r="T481" s="4">
        <v>4</v>
      </c>
      <c r="U481" s="5" t="s">
        <v>6167</v>
      </c>
      <c r="V481" s="5" t="s">
        <v>6167</v>
      </c>
      <c r="W481" s="5" t="s">
        <v>6168</v>
      </c>
      <c r="X481" s="5" t="s">
        <v>6168</v>
      </c>
      <c r="Y481" s="4">
        <v>37</v>
      </c>
      <c r="Z481" s="4">
        <v>34</v>
      </c>
      <c r="AA481" s="4">
        <v>34</v>
      </c>
      <c r="AB481" s="4">
        <v>2</v>
      </c>
      <c r="AC481" s="4">
        <v>2</v>
      </c>
      <c r="AD481" s="4">
        <v>4</v>
      </c>
      <c r="AE481" s="4">
        <v>4</v>
      </c>
      <c r="AF481" s="4">
        <v>1</v>
      </c>
      <c r="AG481" s="4">
        <v>1</v>
      </c>
      <c r="AH481" s="4">
        <v>1</v>
      </c>
      <c r="AI481" s="4">
        <v>1</v>
      </c>
      <c r="AJ481" s="4">
        <v>3</v>
      </c>
      <c r="AK481" s="4">
        <v>3</v>
      </c>
      <c r="AL481" s="4">
        <v>0</v>
      </c>
      <c r="AM481" s="4">
        <v>0</v>
      </c>
      <c r="AN481" s="4">
        <v>0</v>
      </c>
      <c r="AO481" s="4">
        <v>0</v>
      </c>
      <c r="AP481" s="3" t="s">
        <v>58</v>
      </c>
      <c r="AQ481" s="3" t="s">
        <v>58</v>
      </c>
      <c r="AS481" s="6" t="str">
        <f>HYPERLINK("https://creighton-primo.hosted.exlibrisgroup.com/primo-explore/search?tab=default_tab&amp;search_scope=EVERYTHING&amp;vid=01CRU&amp;lang=en_US&amp;offset=0&amp;query=any,contains,991003222229702656","Catalog Record")</f>
        <v>Catalog Record</v>
      </c>
      <c r="AT481" s="6" t="str">
        <f>HYPERLINK("http://www.worldcat.org/oclc/40744410","WorldCat Record")</f>
        <v>WorldCat Record</v>
      </c>
      <c r="AU481" s="3" t="s">
        <v>6169</v>
      </c>
      <c r="AV481" s="3" t="s">
        <v>6170</v>
      </c>
      <c r="AW481" s="3" t="s">
        <v>6171</v>
      </c>
      <c r="AX481" s="3" t="s">
        <v>6171</v>
      </c>
      <c r="AY481" s="3" t="s">
        <v>6172</v>
      </c>
      <c r="AZ481" s="3" t="s">
        <v>75</v>
      </c>
      <c r="BB481" s="3" t="s">
        <v>6173</v>
      </c>
      <c r="BC481" s="3" t="s">
        <v>6174</v>
      </c>
      <c r="BD481" s="3" t="s">
        <v>6175</v>
      </c>
    </row>
    <row r="482" spans="1:56" ht="39" customHeight="1" x14ac:dyDescent="0.25">
      <c r="A482" s="7" t="s">
        <v>58</v>
      </c>
      <c r="B482" s="2" t="s">
        <v>6176</v>
      </c>
      <c r="C482" s="2" t="s">
        <v>6177</v>
      </c>
      <c r="D482" s="2" t="s">
        <v>6178</v>
      </c>
      <c r="F482" s="3" t="s">
        <v>58</v>
      </c>
      <c r="G482" s="3" t="s">
        <v>59</v>
      </c>
      <c r="H482" s="3" t="s">
        <v>58</v>
      </c>
      <c r="I482" s="3" t="s">
        <v>58</v>
      </c>
      <c r="J482" s="3" t="s">
        <v>60</v>
      </c>
      <c r="L482" s="2" t="s">
        <v>6179</v>
      </c>
      <c r="M482" s="3" t="s">
        <v>781</v>
      </c>
      <c r="O482" s="3" t="s">
        <v>65</v>
      </c>
      <c r="P482" s="3" t="s">
        <v>186</v>
      </c>
      <c r="R482" s="3" t="s">
        <v>68</v>
      </c>
      <c r="S482" s="4">
        <v>0</v>
      </c>
      <c r="T482" s="4">
        <v>0</v>
      </c>
      <c r="U482" s="5" t="s">
        <v>6180</v>
      </c>
      <c r="V482" s="5" t="s">
        <v>6180</v>
      </c>
      <c r="W482" s="5" t="s">
        <v>5426</v>
      </c>
      <c r="X482" s="5" t="s">
        <v>5426</v>
      </c>
      <c r="Y482" s="4">
        <v>329</v>
      </c>
      <c r="Z482" s="4">
        <v>286</v>
      </c>
      <c r="AA482" s="4">
        <v>334</v>
      </c>
      <c r="AB482" s="4">
        <v>5</v>
      </c>
      <c r="AC482" s="4">
        <v>5</v>
      </c>
      <c r="AD482" s="4">
        <v>18</v>
      </c>
      <c r="AE482" s="4">
        <v>18</v>
      </c>
      <c r="AF482" s="4">
        <v>8</v>
      </c>
      <c r="AG482" s="4">
        <v>8</v>
      </c>
      <c r="AH482" s="4">
        <v>2</v>
      </c>
      <c r="AI482" s="4">
        <v>2</v>
      </c>
      <c r="AJ482" s="4">
        <v>10</v>
      </c>
      <c r="AK482" s="4">
        <v>10</v>
      </c>
      <c r="AL482" s="4">
        <v>3</v>
      </c>
      <c r="AM482" s="4">
        <v>3</v>
      </c>
      <c r="AN482" s="4">
        <v>0</v>
      </c>
      <c r="AO482" s="4">
        <v>0</v>
      </c>
      <c r="AP482" s="3" t="s">
        <v>58</v>
      </c>
      <c r="AQ482" s="3" t="s">
        <v>132</v>
      </c>
      <c r="AR482" s="6" t="str">
        <f>HYPERLINK("http://catalog.hathitrust.org/Record/000624473","HathiTrust Record")</f>
        <v>HathiTrust Record</v>
      </c>
      <c r="AS482" s="6" t="str">
        <f>HYPERLINK("https://creighton-primo.hosted.exlibrisgroup.com/primo-explore/search?tab=default_tab&amp;search_scope=EVERYTHING&amp;vid=01CRU&amp;lang=en_US&amp;offset=0&amp;query=any,contains,991000595769702656","Catalog Record")</f>
        <v>Catalog Record</v>
      </c>
      <c r="AT482" s="6" t="str">
        <f>HYPERLINK("http://www.worldcat.org/oclc/11812681","WorldCat Record")</f>
        <v>WorldCat Record</v>
      </c>
      <c r="AU482" s="3" t="s">
        <v>6181</v>
      </c>
      <c r="AV482" s="3" t="s">
        <v>6182</v>
      </c>
      <c r="AW482" s="3" t="s">
        <v>6183</v>
      </c>
      <c r="AX482" s="3" t="s">
        <v>6183</v>
      </c>
      <c r="AY482" s="3" t="s">
        <v>6184</v>
      </c>
      <c r="AZ482" s="3" t="s">
        <v>75</v>
      </c>
      <c r="BB482" s="3" t="s">
        <v>6185</v>
      </c>
      <c r="BC482" s="3" t="s">
        <v>6186</v>
      </c>
      <c r="BD482" s="3" t="s">
        <v>6187</v>
      </c>
    </row>
    <row r="483" spans="1:56" ht="39" customHeight="1" x14ac:dyDescent="0.25">
      <c r="A483" s="7" t="s">
        <v>58</v>
      </c>
      <c r="B483" s="2" t="s">
        <v>6188</v>
      </c>
      <c r="C483" s="2" t="s">
        <v>6189</v>
      </c>
      <c r="D483" s="2" t="s">
        <v>6190</v>
      </c>
      <c r="F483" s="3" t="s">
        <v>58</v>
      </c>
      <c r="G483" s="3" t="s">
        <v>59</v>
      </c>
      <c r="H483" s="3" t="s">
        <v>58</v>
      </c>
      <c r="I483" s="3" t="s">
        <v>58</v>
      </c>
      <c r="J483" s="3" t="s">
        <v>60</v>
      </c>
      <c r="K483" s="2" t="s">
        <v>6191</v>
      </c>
      <c r="L483" s="2" t="s">
        <v>6192</v>
      </c>
      <c r="M483" s="3" t="s">
        <v>4490</v>
      </c>
      <c r="O483" s="3" t="s">
        <v>65</v>
      </c>
      <c r="P483" s="3" t="s">
        <v>186</v>
      </c>
      <c r="R483" s="3" t="s">
        <v>68</v>
      </c>
      <c r="S483" s="4">
        <v>3</v>
      </c>
      <c r="T483" s="4">
        <v>3</v>
      </c>
      <c r="U483" s="5" t="s">
        <v>6167</v>
      </c>
      <c r="V483" s="5" t="s">
        <v>6167</v>
      </c>
      <c r="W483" s="5" t="s">
        <v>5748</v>
      </c>
      <c r="X483" s="5" t="s">
        <v>5748</v>
      </c>
      <c r="Y483" s="4">
        <v>424</v>
      </c>
      <c r="Z483" s="4">
        <v>385</v>
      </c>
      <c r="AA483" s="4">
        <v>456</v>
      </c>
      <c r="AB483" s="4">
        <v>4</v>
      </c>
      <c r="AC483" s="4">
        <v>4</v>
      </c>
      <c r="AD483" s="4">
        <v>16</v>
      </c>
      <c r="AE483" s="4">
        <v>17</v>
      </c>
      <c r="AF483" s="4">
        <v>4</v>
      </c>
      <c r="AG483" s="4">
        <v>5</v>
      </c>
      <c r="AH483" s="4">
        <v>3</v>
      </c>
      <c r="AI483" s="4">
        <v>3</v>
      </c>
      <c r="AJ483" s="4">
        <v>8</v>
      </c>
      <c r="AK483" s="4">
        <v>8</v>
      </c>
      <c r="AL483" s="4">
        <v>3</v>
      </c>
      <c r="AM483" s="4">
        <v>3</v>
      </c>
      <c r="AN483" s="4">
        <v>0</v>
      </c>
      <c r="AO483" s="4">
        <v>0</v>
      </c>
      <c r="AP483" s="3" t="s">
        <v>58</v>
      </c>
      <c r="AQ483" s="3" t="s">
        <v>132</v>
      </c>
      <c r="AR483" s="6" t="str">
        <f>HYPERLINK("http://catalog.hathitrust.org/Record/005779399","HathiTrust Record")</f>
        <v>HathiTrust Record</v>
      </c>
      <c r="AS483" s="6" t="str">
        <f>HYPERLINK("https://creighton-primo.hosted.exlibrisgroup.com/primo-explore/search?tab=default_tab&amp;search_scope=EVERYTHING&amp;vid=01CRU&amp;lang=en_US&amp;offset=0&amp;query=any,contains,991003294749702656","Catalog Record")</f>
        <v>Catalog Record</v>
      </c>
      <c r="AT483" s="6" t="str">
        <f>HYPERLINK("http://www.worldcat.org/oclc/817107","WorldCat Record")</f>
        <v>WorldCat Record</v>
      </c>
      <c r="AU483" s="3" t="s">
        <v>6193</v>
      </c>
      <c r="AV483" s="3" t="s">
        <v>6194</v>
      </c>
      <c r="AW483" s="3" t="s">
        <v>6195</v>
      </c>
      <c r="AX483" s="3" t="s">
        <v>6195</v>
      </c>
      <c r="AY483" s="3" t="s">
        <v>6196</v>
      </c>
      <c r="AZ483" s="3" t="s">
        <v>75</v>
      </c>
      <c r="BC483" s="3" t="s">
        <v>6197</v>
      </c>
      <c r="BD483" s="3" t="s">
        <v>6198</v>
      </c>
    </row>
    <row r="484" spans="1:56" ht="39" customHeight="1" x14ac:dyDescent="0.25">
      <c r="A484" s="7" t="s">
        <v>58</v>
      </c>
      <c r="B484" s="2" t="s">
        <v>6199</v>
      </c>
      <c r="C484" s="2" t="s">
        <v>6200</v>
      </c>
      <c r="D484" s="2" t="s">
        <v>6201</v>
      </c>
      <c r="F484" s="3" t="s">
        <v>58</v>
      </c>
      <c r="G484" s="3" t="s">
        <v>59</v>
      </c>
      <c r="H484" s="3" t="s">
        <v>58</v>
      </c>
      <c r="I484" s="3" t="s">
        <v>58</v>
      </c>
      <c r="J484" s="3" t="s">
        <v>60</v>
      </c>
      <c r="K484" s="2" t="s">
        <v>6202</v>
      </c>
      <c r="L484" s="2" t="s">
        <v>6203</v>
      </c>
      <c r="M484" s="3" t="s">
        <v>3920</v>
      </c>
      <c r="O484" s="3" t="s">
        <v>65</v>
      </c>
      <c r="P484" s="3" t="s">
        <v>3503</v>
      </c>
      <c r="R484" s="3" t="s">
        <v>68</v>
      </c>
      <c r="S484" s="4">
        <v>1</v>
      </c>
      <c r="T484" s="4">
        <v>1</v>
      </c>
      <c r="U484" s="5" t="s">
        <v>6204</v>
      </c>
      <c r="V484" s="5" t="s">
        <v>6204</v>
      </c>
      <c r="W484" s="5" t="s">
        <v>6204</v>
      </c>
      <c r="X484" s="5" t="s">
        <v>6204</v>
      </c>
      <c r="Y484" s="4">
        <v>79</v>
      </c>
      <c r="Z484" s="4">
        <v>65</v>
      </c>
      <c r="AA484" s="4">
        <v>81</v>
      </c>
      <c r="AB484" s="4">
        <v>1</v>
      </c>
      <c r="AC484" s="4">
        <v>2</v>
      </c>
      <c r="AD484" s="4">
        <v>5</v>
      </c>
      <c r="AE484" s="4">
        <v>7</v>
      </c>
      <c r="AF484" s="4">
        <v>2</v>
      </c>
      <c r="AG484" s="4">
        <v>3</v>
      </c>
      <c r="AH484" s="4">
        <v>1</v>
      </c>
      <c r="AI484" s="4">
        <v>2</v>
      </c>
      <c r="AJ484" s="4">
        <v>4</v>
      </c>
      <c r="AK484" s="4">
        <v>4</v>
      </c>
      <c r="AL484" s="4">
        <v>0</v>
      </c>
      <c r="AM484" s="4">
        <v>1</v>
      </c>
      <c r="AN484" s="4">
        <v>0</v>
      </c>
      <c r="AO484" s="4">
        <v>0</v>
      </c>
      <c r="AP484" s="3" t="s">
        <v>58</v>
      </c>
      <c r="AQ484" s="3" t="s">
        <v>58</v>
      </c>
      <c r="AS484" s="6" t="str">
        <f>HYPERLINK("https://creighton-primo.hosted.exlibrisgroup.com/primo-explore/search?tab=default_tab&amp;search_scope=EVERYTHING&amp;vid=01CRU&amp;lang=en_US&amp;offset=0&amp;query=any,contains,991005024999702656","Catalog Record")</f>
        <v>Catalog Record</v>
      </c>
      <c r="AT484" s="6" t="str">
        <f>HYPERLINK("http://www.worldcat.org/oclc/60500457","WorldCat Record")</f>
        <v>WorldCat Record</v>
      </c>
      <c r="AU484" s="3" t="s">
        <v>6205</v>
      </c>
      <c r="AV484" s="3" t="s">
        <v>6206</v>
      </c>
      <c r="AW484" s="3" t="s">
        <v>6207</v>
      </c>
      <c r="AX484" s="3" t="s">
        <v>6207</v>
      </c>
      <c r="AY484" s="3" t="s">
        <v>6208</v>
      </c>
      <c r="AZ484" s="3" t="s">
        <v>75</v>
      </c>
      <c r="BB484" s="3" t="s">
        <v>6209</v>
      </c>
      <c r="BC484" s="3" t="s">
        <v>6210</v>
      </c>
      <c r="BD484" s="3" t="s">
        <v>6211</v>
      </c>
    </row>
    <row r="485" spans="1:56" ht="39" customHeight="1" x14ac:dyDescent="0.25">
      <c r="A485" s="7" t="s">
        <v>58</v>
      </c>
      <c r="B485" s="2" t="s">
        <v>6212</v>
      </c>
      <c r="C485" s="2" t="s">
        <v>6213</v>
      </c>
      <c r="D485" s="2" t="s">
        <v>6214</v>
      </c>
      <c r="F485" s="3" t="s">
        <v>58</v>
      </c>
      <c r="G485" s="3" t="s">
        <v>59</v>
      </c>
      <c r="H485" s="3" t="s">
        <v>58</v>
      </c>
      <c r="I485" s="3" t="s">
        <v>58</v>
      </c>
      <c r="J485" s="3" t="s">
        <v>60</v>
      </c>
      <c r="K485" s="2" t="s">
        <v>6215</v>
      </c>
      <c r="L485" s="2" t="s">
        <v>6216</v>
      </c>
      <c r="M485" s="3" t="s">
        <v>389</v>
      </c>
      <c r="N485" s="2" t="s">
        <v>6217</v>
      </c>
      <c r="O485" s="3" t="s">
        <v>65</v>
      </c>
      <c r="P485" s="3" t="s">
        <v>186</v>
      </c>
      <c r="R485" s="3" t="s">
        <v>68</v>
      </c>
      <c r="S485" s="4">
        <v>9</v>
      </c>
      <c r="T485" s="4">
        <v>9</v>
      </c>
      <c r="U485" s="5" t="s">
        <v>6218</v>
      </c>
      <c r="V485" s="5" t="s">
        <v>6218</v>
      </c>
      <c r="W485" s="5" t="s">
        <v>5748</v>
      </c>
      <c r="X485" s="5" t="s">
        <v>5748</v>
      </c>
      <c r="Y485" s="4">
        <v>266</v>
      </c>
      <c r="Z485" s="4">
        <v>251</v>
      </c>
      <c r="AA485" s="4">
        <v>264</v>
      </c>
      <c r="AB485" s="4">
        <v>4</v>
      </c>
      <c r="AC485" s="4">
        <v>4</v>
      </c>
      <c r="AD485" s="4">
        <v>25</v>
      </c>
      <c r="AE485" s="4">
        <v>27</v>
      </c>
      <c r="AF485" s="4">
        <v>8</v>
      </c>
      <c r="AG485" s="4">
        <v>8</v>
      </c>
      <c r="AH485" s="4">
        <v>7</v>
      </c>
      <c r="AI485" s="4">
        <v>7</v>
      </c>
      <c r="AJ485" s="4">
        <v>15</v>
      </c>
      <c r="AK485" s="4">
        <v>17</v>
      </c>
      <c r="AL485" s="4">
        <v>2</v>
      </c>
      <c r="AM485" s="4">
        <v>2</v>
      </c>
      <c r="AN485" s="4">
        <v>0</v>
      </c>
      <c r="AO485" s="4">
        <v>0</v>
      </c>
      <c r="AP485" s="3" t="s">
        <v>58</v>
      </c>
      <c r="AQ485" s="3" t="s">
        <v>58</v>
      </c>
      <c r="AS485" s="6" t="str">
        <f>HYPERLINK("https://creighton-primo.hosted.exlibrisgroup.com/primo-explore/search?tab=default_tab&amp;search_scope=EVERYTHING&amp;vid=01CRU&amp;lang=en_US&amp;offset=0&amp;query=any,contains,991003368999702656","Catalog Record")</f>
        <v>Catalog Record</v>
      </c>
      <c r="AT485" s="6" t="str">
        <f>HYPERLINK("http://www.worldcat.org/oclc/904719","WorldCat Record")</f>
        <v>WorldCat Record</v>
      </c>
      <c r="AU485" s="3" t="s">
        <v>6219</v>
      </c>
      <c r="AV485" s="3" t="s">
        <v>6220</v>
      </c>
      <c r="AW485" s="3" t="s">
        <v>6221</v>
      </c>
      <c r="AX485" s="3" t="s">
        <v>6221</v>
      </c>
      <c r="AY485" s="3" t="s">
        <v>6222</v>
      </c>
      <c r="AZ485" s="3" t="s">
        <v>75</v>
      </c>
      <c r="BC485" s="3" t="s">
        <v>6223</v>
      </c>
      <c r="BD485" s="3" t="s">
        <v>6224</v>
      </c>
    </row>
    <row r="486" spans="1:56" ht="39" customHeight="1" x14ac:dyDescent="0.25">
      <c r="A486" s="7" t="s">
        <v>58</v>
      </c>
      <c r="B486" s="2" t="s">
        <v>6225</v>
      </c>
      <c r="C486" s="2" t="s">
        <v>6226</v>
      </c>
      <c r="D486" s="2" t="s">
        <v>6227</v>
      </c>
      <c r="F486" s="3" t="s">
        <v>58</v>
      </c>
      <c r="G486" s="3" t="s">
        <v>59</v>
      </c>
      <c r="H486" s="3" t="s">
        <v>58</v>
      </c>
      <c r="I486" s="3" t="s">
        <v>58</v>
      </c>
      <c r="J486" s="3" t="s">
        <v>60</v>
      </c>
      <c r="K486" s="2" t="s">
        <v>6228</v>
      </c>
      <c r="L486" s="2" t="s">
        <v>6229</v>
      </c>
      <c r="M486" s="3" t="s">
        <v>98</v>
      </c>
      <c r="O486" s="3" t="s">
        <v>65</v>
      </c>
      <c r="P486" s="3" t="s">
        <v>1358</v>
      </c>
      <c r="R486" s="3" t="s">
        <v>68</v>
      </c>
      <c r="S486" s="4">
        <v>9</v>
      </c>
      <c r="T486" s="4">
        <v>9</v>
      </c>
      <c r="U486" s="5" t="s">
        <v>6230</v>
      </c>
      <c r="V486" s="5" t="s">
        <v>6230</v>
      </c>
      <c r="W486" s="5" t="s">
        <v>6231</v>
      </c>
      <c r="X486" s="5" t="s">
        <v>6231</v>
      </c>
      <c r="Y486" s="4">
        <v>106</v>
      </c>
      <c r="Z486" s="4">
        <v>89</v>
      </c>
      <c r="AA486" s="4">
        <v>89</v>
      </c>
      <c r="AB486" s="4">
        <v>1</v>
      </c>
      <c r="AC486" s="4">
        <v>1</v>
      </c>
      <c r="AD486" s="4">
        <v>15</v>
      </c>
      <c r="AE486" s="4">
        <v>15</v>
      </c>
      <c r="AF486" s="4">
        <v>6</v>
      </c>
      <c r="AG486" s="4">
        <v>6</v>
      </c>
      <c r="AH486" s="4">
        <v>4</v>
      </c>
      <c r="AI486" s="4">
        <v>4</v>
      </c>
      <c r="AJ486" s="4">
        <v>10</v>
      </c>
      <c r="AK486" s="4">
        <v>10</v>
      </c>
      <c r="AL486" s="4">
        <v>0</v>
      </c>
      <c r="AM486" s="4">
        <v>0</v>
      </c>
      <c r="AN486" s="4">
        <v>0</v>
      </c>
      <c r="AO486" s="4">
        <v>0</v>
      </c>
      <c r="AP486" s="3" t="s">
        <v>58</v>
      </c>
      <c r="AQ486" s="3" t="s">
        <v>58</v>
      </c>
      <c r="AS486" s="6" t="str">
        <f>HYPERLINK("https://creighton-primo.hosted.exlibrisgroup.com/primo-explore/search?tab=default_tab&amp;search_scope=EVERYTHING&amp;vid=01CRU&amp;lang=en_US&amp;offset=0&amp;query=any,contains,991004143479702656","Catalog Record")</f>
        <v>Catalog Record</v>
      </c>
      <c r="AT486" s="6" t="str">
        <f>HYPERLINK("http://www.worldcat.org/oclc/2504831","WorldCat Record")</f>
        <v>WorldCat Record</v>
      </c>
      <c r="AU486" s="3" t="s">
        <v>6232</v>
      </c>
      <c r="AV486" s="3" t="s">
        <v>6233</v>
      </c>
      <c r="AW486" s="3" t="s">
        <v>6234</v>
      </c>
      <c r="AX486" s="3" t="s">
        <v>6234</v>
      </c>
      <c r="AY486" s="3" t="s">
        <v>6235</v>
      </c>
      <c r="AZ486" s="3" t="s">
        <v>75</v>
      </c>
      <c r="BC486" s="3" t="s">
        <v>6236</v>
      </c>
      <c r="BD486" s="3" t="s">
        <v>6237</v>
      </c>
    </row>
    <row r="487" spans="1:56" ht="39" customHeight="1" x14ac:dyDescent="0.25">
      <c r="A487" s="7" t="s">
        <v>58</v>
      </c>
      <c r="B487" s="2" t="s">
        <v>6238</v>
      </c>
      <c r="C487" s="2" t="s">
        <v>6239</v>
      </c>
      <c r="D487" s="2" t="s">
        <v>6240</v>
      </c>
      <c r="F487" s="3" t="s">
        <v>58</v>
      </c>
      <c r="G487" s="3" t="s">
        <v>59</v>
      </c>
      <c r="H487" s="3" t="s">
        <v>58</v>
      </c>
      <c r="I487" s="3" t="s">
        <v>58</v>
      </c>
      <c r="J487" s="3" t="s">
        <v>60</v>
      </c>
      <c r="K487" s="2" t="s">
        <v>6241</v>
      </c>
      <c r="L487" s="2" t="s">
        <v>6242</v>
      </c>
      <c r="M487" s="3" t="s">
        <v>439</v>
      </c>
      <c r="O487" s="3" t="s">
        <v>65</v>
      </c>
      <c r="P487" s="3" t="s">
        <v>304</v>
      </c>
      <c r="R487" s="3" t="s">
        <v>68</v>
      </c>
      <c r="S487" s="4">
        <v>1</v>
      </c>
      <c r="T487" s="4">
        <v>1</v>
      </c>
      <c r="U487" s="5" t="s">
        <v>6243</v>
      </c>
      <c r="V487" s="5" t="s">
        <v>6243</v>
      </c>
      <c r="W487" s="5" t="s">
        <v>6244</v>
      </c>
      <c r="X487" s="5" t="s">
        <v>6244</v>
      </c>
      <c r="Y487" s="4">
        <v>69</v>
      </c>
      <c r="Z487" s="4">
        <v>62</v>
      </c>
      <c r="AA487" s="4">
        <v>76</v>
      </c>
      <c r="AB487" s="4">
        <v>1</v>
      </c>
      <c r="AC487" s="4">
        <v>1</v>
      </c>
      <c r="AD487" s="4">
        <v>6</v>
      </c>
      <c r="AE487" s="4">
        <v>7</v>
      </c>
      <c r="AF487" s="4">
        <v>2</v>
      </c>
      <c r="AG487" s="4">
        <v>2</v>
      </c>
      <c r="AH487" s="4">
        <v>2</v>
      </c>
      <c r="AI487" s="4">
        <v>3</v>
      </c>
      <c r="AJ487" s="4">
        <v>4</v>
      </c>
      <c r="AK487" s="4">
        <v>4</v>
      </c>
      <c r="AL487" s="4">
        <v>0</v>
      </c>
      <c r="AM487" s="4">
        <v>0</v>
      </c>
      <c r="AN487" s="4">
        <v>0</v>
      </c>
      <c r="AO487" s="4">
        <v>0</v>
      </c>
      <c r="AP487" s="3" t="s">
        <v>58</v>
      </c>
      <c r="AQ487" s="3" t="s">
        <v>132</v>
      </c>
      <c r="AR487" s="6" t="str">
        <f>HYPERLINK("http://catalog.hathitrust.org/Record/002959094","HathiTrust Record")</f>
        <v>HathiTrust Record</v>
      </c>
      <c r="AS487" s="6" t="str">
        <f>HYPERLINK("https://creighton-primo.hosted.exlibrisgroup.com/primo-explore/search?tab=default_tab&amp;search_scope=EVERYTHING&amp;vid=01CRU&amp;lang=en_US&amp;offset=0&amp;query=any,contains,991005094789702656","Catalog Record")</f>
        <v>Catalog Record</v>
      </c>
      <c r="AT487" s="6" t="str">
        <f>HYPERLINK("http://www.worldcat.org/oclc/7243474","WorldCat Record")</f>
        <v>WorldCat Record</v>
      </c>
      <c r="AU487" s="3" t="s">
        <v>6245</v>
      </c>
      <c r="AV487" s="3" t="s">
        <v>6246</v>
      </c>
      <c r="AW487" s="3" t="s">
        <v>6247</v>
      </c>
      <c r="AX487" s="3" t="s">
        <v>6247</v>
      </c>
      <c r="AY487" s="3" t="s">
        <v>6248</v>
      </c>
      <c r="AZ487" s="3" t="s">
        <v>75</v>
      </c>
      <c r="BC487" s="3" t="s">
        <v>6249</v>
      </c>
      <c r="BD487" s="3" t="s">
        <v>6250</v>
      </c>
    </row>
    <row r="488" spans="1:56" ht="39" customHeight="1" x14ac:dyDescent="0.25">
      <c r="A488" s="7" t="s">
        <v>58</v>
      </c>
      <c r="B488" s="2" t="s">
        <v>6251</v>
      </c>
      <c r="C488" s="2" t="s">
        <v>6252</v>
      </c>
      <c r="D488" s="2" t="s">
        <v>6253</v>
      </c>
      <c r="F488" s="3" t="s">
        <v>58</v>
      </c>
      <c r="G488" s="3" t="s">
        <v>59</v>
      </c>
      <c r="H488" s="3" t="s">
        <v>58</v>
      </c>
      <c r="I488" s="3" t="s">
        <v>58</v>
      </c>
      <c r="J488" s="3" t="s">
        <v>60</v>
      </c>
      <c r="K488" s="2" t="s">
        <v>6254</v>
      </c>
      <c r="L488" s="2" t="s">
        <v>6255</v>
      </c>
      <c r="M488" s="3" t="s">
        <v>4281</v>
      </c>
      <c r="O488" s="3" t="s">
        <v>65</v>
      </c>
      <c r="P488" s="3" t="s">
        <v>201</v>
      </c>
      <c r="Q488" s="2" t="s">
        <v>6256</v>
      </c>
      <c r="R488" s="3" t="s">
        <v>68</v>
      </c>
      <c r="S488" s="4">
        <v>2</v>
      </c>
      <c r="T488" s="4">
        <v>2</v>
      </c>
      <c r="U488" s="5" t="s">
        <v>5327</v>
      </c>
      <c r="V488" s="5" t="s">
        <v>5327</v>
      </c>
      <c r="W488" s="5" t="s">
        <v>6257</v>
      </c>
      <c r="X488" s="5" t="s">
        <v>6257</v>
      </c>
      <c r="Y488" s="4">
        <v>128</v>
      </c>
      <c r="Z488" s="4">
        <v>104</v>
      </c>
      <c r="AA488" s="4">
        <v>104</v>
      </c>
      <c r="AB488" s="4">
        <v>1</v>
      </c>
      <c r="AC488" s="4">
        <v>1</v>
      </c>
      <c r="AD488" s="4">
        <v>9</v>
      </c>
      <c r="AE488" s="4">
        <v>9</v>
      </c>
      <c r="AF488" s="4">
        <v>5</v>
      </c>
      <c r="AG488" s="4">
        <v>5</v>
      </c>
      <c r="AH488" s="4">
        <v>1</v>
      </c>
      <c r="AI488" s="4">
        <v>1</v>
      </c>
      <c r="AJ488" s="4">
        <v>6</v>
      </c>
      <c r="AK488" s="4">
        <v>6</v>
      </c>
      <c r="AL488" s="4">
        <v>0</v>
      </c>
      <c r="AM488" s="4">
        <v>0</v>
      </c>
      <c r="AN488" s="4">
        <v>0</v>
      </c>
      <c r="AO488" s="4">
        <v>0</v>
      </c>
      <c r="AP488" s="3" t="s">
        <v>58</v>
      </c>
      <c r="AQ488" s="3" t="s">
        <v>58</v>
      </c>
      <c r="AS488" s="6" t="str">
        <f>HYPERLINK("https://creighton-primo.hosted.exlibrisgroup.com/primo-explore/search?tab=default_tab&amp;search_scope=EVERYTHING&amp;vid=01CRU&amp;lang=en_US&amp;offset=0&amp;query=any,contains,991004423309702656","Catalog Record")</f>
        <v>Catalog Record</v>
      </c>
      <c r="AT488" s="6" t="str">
        <f>HYPERLINK("http://www.worldcat.org/oclc/54988552","WorldCat Record")</f>
        <v>WorldCat Record</v>
      </c>
      <c r="AU488" s="3" t="s">
        <v>6258</v>
      </c>
      <c r="AV488" s="3" t="s">
        <v>6259</v>
      </c>
      <c r="AW488" s="3" t="s">
        <v>6260</v>
      </c>
      <c r="AX488" s="3" t="s">
        <v>6260</v>
      </c>
      <c r="AY488" s="3" t="s">
        <v>6261</v>
      </c>
      <c r="AZ488" s="3" t="s">
        <v>75</v>
      </c>
      <c r="BB488" s="3" t="s">
        <v>6262</v>
      </c>
      <c r="BC488" s="3" t="s">
        <v>6263</v>
      </c>
      <c r="BD488" s="3" t="s">
        <v>6264</v>
      </c>
    </row>
    <row r="489" spans="1:56" ht="39" customHeight="1" x14ac:dyDescent="0.25">
      <c r="A489" s="7" t="s">
        <v>58</v>
      </c>
      <c r="B489" s="2" t="s">
        <v>6265</v>
      </c>
      <c r="C489" s="2" t="s">
        <v>6266</v>
      </c>
      <c r="D489" s="2" t="s">
        <v>6267</v>
      </c>
      <c r="F489" s="3" t="s">
        <v>58</v>
      </c>
      <c r="G489" s="3" t="s">
        <v>59</v>
      </c>
      <c r="H489" s="3" t="s">
        <v>58</v>
      </c>
      <c r="I489" s="3" t="s">
        <v>58</v>
      </c>
      <c r="J489" s="3" t="s">
        <v>60</v>
      </c>
      <c r="K489" s="2" t="s">
        <v>6268</v>
      </c>
      <c r="L489" s="2" t="s">
        <v>6269</v>
      </c>
      <c r="M489" s="3" t="s">
        <v>781</v>
      </c>
      <c r="N489" s="2" t="s">
        <v>476</v>
      </c>
      <c r="O489" s="3" t="s">
        <v>65</v>
      </c>
      <c r="P489" s="3" t="s">
        <v>477</v>
      </c>
      <c r="R489" s="3" t="s">
        <v>68</v>
      </c>
      <c r="S489" s="4">
        <v>3</v>
      </c>
      <c r="T489" s="4">
        <v>3</v>
      </c>
      <c r="U489" s="5" t="s">
        <v>5327</v>
      </c>
      <c r="V489" s="5" t="s">
        <v>5327</v>
      </c>
      <c r="W489" s="5" t="s">
        <v>6270</v>
      </c>
      <c r="X489" s="5" t="s">
        <v>6270</v>
      </c>
      <c r="Y489" s="4">
        <v>331</v>
      </c>
      <c r="Z489" s="4">
        <v>282</v>
      </c>
      <c r="AA489" s="4">
        <v>282</v>
      </c>
      <c r="AB489" s="4">
        <v>2</v>
      </c>
      <c r="AC489" s="4">
        <v>2</v>
      </c>
      <c r="AD489" s="4">
        <v>10</v>
      </c>
      <c r="AE489" s="4">
        <v>10</v>
      </c>
      <c r="AF489" s="4">
        <v>5</v>
      </c>
      <c r="AG489" s="4">
        <v>5</v>
      </c>
      <c r="AH489" s="4">
        <v>1</v>
      </c>
      <c r="AI489" s="4">
        <v>1</v>
      </c>
      <c r="AJ489" s="4">
        <v>5</v>
      </c>
      <c r="AK489" s="4">
        <v>5</v>
      </c>
      <c r="AL489" s="4">
        <v>1</v>
      </c>
      <c r="AM489" s="4">
        <v>1</v>
      </c>
      <c r="AN489" s="4">
        <v>0</v>
      </c>
      <c r="AO489" s="4">
        <v>0</v>
      </c>
      <c r="AP489" s="3" t="s">
        <v>58</v>
      </c>
      <c r="AQ489" s="3" t="s">
        <v>58</v>
      </c>
      <c r="AS489" s="6" t="str">
        <f>HYPERLINK("https://creighton-primo.hosted.exlibrisgroup.com/primo-explore/search?tab=default_tab&amp;search_scope=EVERYTHING&amp;vid=01CRU&amp;lang=en_US&amp;offset=0&amp;query=any,contains,991000538349702656","Catalog Record")</f>
        <v>Catalog Record</v>
      </c>
      <c r="AT489" s="6" t="str">
        <f>HYPERLINK("http://www.worldcat.org/oclc/11468501","WorldCat Record")</f>
        <v>WorldCat Record</v>
      </c>
      <c r="AU489" s="3" t="s">
        <v>6271</v>
      </c>
      <c r="AV489" s="3" t="s">
        <v>6272</v>
      </c>
      <c r="AW489" s="3" t="s">
        <v>6273</v>
      </c>
      <c r="AX489" s="3" t="s">
        <v>6273</v>
      </c>
      <c r="AY489" s="3" t="s">
        <v>6274</v>
      </c>
      <c r="AZ489" s="3" t="s">
        <v>75</v>
      </c>
      <c r="BB489" s="3" t="s">
        <v>6275</v>
      </c>
      <c r="BC489" s="3" t="s">
        <v>6276</v>
      </c>
      <c r="BD489" s="3" t="s">
        <v>6277</v>
      </c>
    </row>
    <row r="490" spans="1:56" ht="39" customHeight="1" x14ac:dyDescent="0.25">
      <c r="A490" s="7" t="s">
        <v>58</v>
      </c>
      <c r="B490" s="2" t="s">
        <v>6278</v>
      </c>
      <c r="C490" s="2" t="s">
        <v>6279</v>
      </c>
      <c r="D490" s="2" t="s">
        <v>6280</v>
      </c>
      <c r="F490" s="3" t="s">
        <v>58</v>
      </c>
      <c r="G490" s="3" t="s">
        <v>59</v>
      </c>
      <c r="H490" s="3" t="s">
        <v>58</v>
      </c>
      <c r="I490" s="3" t="s">
        <v>58</v>
      </c>
      <c r="J490" s="3" t="s">
        <v>60</v>
      </c>
      <c r="K490" s="2" t="s">
        <v>6281</v>
      </c>
      <c r="L490" s="2" t="s">
        <v>6282</v>
      </c>
      <c r="M490" s="3" t="s">
        <v>157</v>
      </c>
      <c r="O490" s="3" t="s">
        <v>65</v>
      </c>
      <c r="P490" s="3" t="s">
        <v>186</v>
      </c>
      <c r="R490" s="3" t="s">
        <v>68</v>
      </c>
      <c r="S490" s="4">
        <v>2</v>
      </c>
      <c r="T490" s="4">
        <v>2</v>
      </c>
      <c r="U490" s="5" t="s">
        <v>5327</v>
      </c>
      <c r="V490" s="5" t="s">
        <v>5327</v>
      </c>
      <c r="W490" s="5" t="s">
        <v>1623</v>
      </c>
      <c r="X490" s="5" t="s">
        <v>1623</v>
      </c>
      <c r="Y490" s="4">
        <v>366</v>
      </c>
      <c r="Z490" s="4">
        <v>313</v>
      </c>
      <c r="AA490" s="4">
        <v>370</v>
      </c>
      <c r="AB490" s="4">
        <v>5</v>
      </c>
      <c r="AC490" s="4">
        <v>5</v>
      </c>
      <c r="AD490" s="4">
        <v>24</v>
      </c>
      <c r="AE490" s="4">
        <v>26</v>
      </c>
      <c r="AF490" s="4">
        <v>8</v>
      </c>
      <c r="AG490" s="4">
        <v>9</v>
      </c>
      <c r="AH490" s="4">
        <v>4</v>
      </c>
      <c r="AI490" s="4">
        <v>4</v>
      </c>
      <c r="AJ490" s="4">
        <v>14</v>
      </c>
      <c r="AK490" s="4">
        <v>15</v>
      </c>
      <c r="AL490" s="4">
        <v>3</v>
      </c>
      <c r="AM490" s="4">
        <v>3</v>
      </c>
      <c r="AN490" s="4">
        <v>0</v>
      </c>
      <c r="AO490" s="4">
        <v>0</v>
      </c>
      <c r="AP490" s="3" t="s">
        <v>58</v>
      </c>
      <c r="AQ490" s="3" t="s">
        <v>58</v>
      </c>
      <c r="AS490" s="6" t="str">
        <f>HYPERLINK("https://creighton-primo.hosted.exlibrisgroup.com/primo-explore/search?tab=default_tab&amp;search_scope=EVERYTHING&amp;vid=01CRU&amp;lang=en_US&amp;offset=0&amp;query=any,contains,991000070289702656","Catalog Record")</f>
        <v>Catalog Record</v>
      </c>
      <c r="AT490" s="6" t="str">
        <f>HYPERLINK("http://www.worldcat.org/oclc/8782289","WorldCat Record")</f>
        <v>WorldCat Record</v>
      </c>
      <c r="AU490" s="3" t="s">
        <v>6283</v>
      </c>
      <c r="AV490" s="3" t="s">
        <v>6284</v>
      </c>
      <c r="AW490" s="3" t="s">
        <v>6285</v>
      </c>
      <c r="AX490" s="3" t="s">
        <v>6285</v>
      </c>
      <c r="AY490" s="3" t="s">
        <v>6286</v>
      </c>
      <c r="AZ490" s="3" t="s">
        <v>75</v>
      </c>
      <c r="BB490" s="3" t="s">
        <v>6287</v>
      </c>
      <c r="BC490" s="3" t="s">
        <v>6288</v>
      </c>
      <c r="BD490" s="3" t="s">
        <v>6289</v>
      </c>
    </row>
    <row r="491" spans="1:56" ht="39" customHeight="1" x14ac:dyDescent="0.25">
      <c r="A491" s="7" t="s">
        <v>58</v>
      </c>
      <c r="B491" s="2" t="s">
        <v>6290</v>
      </c>
      <c r="C491" s="2" t="s">
        <v>6291</v>
      </c>
      <c r="D491" s="2" t="s">
        <v>6292</v>
      </c>
      <c r="F491" s="3" t="s">
        <v>58</v>
      </c>
      <c r="G491" s="3" t="s">
        <v>59</v>
      </c>
      <c r="H491" s="3" t="s">
        <v>58</v>
      </c>
      <c r="I491" s="3" t="s">
        <v>58</v>
      </c>
      <c r="J491" s="3" t="s">
        <v>60</v>
      </c>
      <c r="K491" s="2" t="s">
        <v>6293</v>
      </c>
      <c r="L491" s="2" t="s">
        <v>6294</v>
      </c>
      <c r="M491" s="3" t="s">
        <v>185</v>
      </c>
      <c r="O491" s="3" t="s">
        <v>65</v>
      </c>
      <c r="P491" s="3" t="s">
        <v>158</v>
      </c>
      <c r="R491" s="3" t="s">
        <v>68</v>
      </c>
      <c r="S491" s="4">
        <v>2</v>
      </c>
      <c r="T491" s="4">
        <v>2</v>
      </c>
      <c r="U491" s="5" t="s">
        <v>3921</v>
      </c>
      <c r="V491" s="5" t="s">
        <v>3921</v>
      </c>
      <c r="W491" s="5" t="s">
        <v>3921</v>
      </c>
      <c r="X491" s="5" t="s">
        <v>3921</v>
      </c>
      <c r="Y491" s="4">
        <v>278</v>
      </c>
      <c r="Z491" s="4">
        <v>234</v>
      </c>
      <c r="AA491" s="4">
        <v>235</v>
      </c>
      <c r="AB491" s="4">
        <v>3</v>
      </c>
      <c r="AC491" s="4">
        <v>3</v>
      </c>
      <c r="AD491" s="4">
        <v>20</v>
      </c>
      <c r="AE491" s="4">
        <v>20</v>
      </c>
      <c r="AF491" s="4">
        <v>8</v>
      </c>
      <c r="AG491" s="4">
        <v>8</v>
      </c>
      <c r="AH491" s="4">
        <v>5</v>
      </c>
      <c r="AI491" s="4">
        <v>5</v>
      </c>
      <c r="AJ491" s="4">
        <v>9</v>
      </c>
      <c r="AK491" s="4">
        <v>9</v>
      </c>
      <c r="AL491" s="4">
        <v>2</v>
      </c>
      <c r="AM491" s="4">
        <v>2</v>
      </c>
      <c r="AN491" s="4">
        <v>0</v>
      </c>
      <c r="AO491" s="4">
        <v>0</v>
      </c>
      <c r="AP491" s="3" t="s">
        <v>58</v>
      </c>
      <c r="AQ491" s="3" t="s">
        <v>58</v>
      </c>
      <c r="AS491" s="6" t="str">
        <f>HYPERLINK("https://creighton-primo.hosted.exlibrisgroup.com/primo-explore/search?tab=default_tab&amp;search_scope=EVERYTHING&amp;vid=01CRU&amp;lang=en_US&amp;offset=0&amp;query=any,contains,991004741269702656","Catalog Record")</f>
        <v>Catalog Record</v>
      </c>
      <c r="AT491" s="6" t="str">
        <f>HYPERLINK("http://www.worldcat.org/oclc/44174195","WorldCat Record")</f>
        <v>WorldCat Record</v>
      </c>
      <c r="AU491" s="3" t="s">
        <v>6295</v>
      </c>
      <c r="AV491" s="3" t="s">
        <v>6296</v>
      </c>
      <c r="AW491" s="3" t="s">
        <v>6297</v>
      </c>
      <c r="AX491" s="3" t="s">
        <v>6297</v>
      </c>
      <c r="AY491" s="3" t="s">
        <v>6298</v>
      </c>
      <c r="AZ491" s="3" t="s">
        <v>75</v>
      </c>
      <c r="BB491" s="3" t="s">
        <v>6299</v>
      </c>
      <c r="BC491" s="3" t="s">
        <v>6300</v>
      </c>
      <c r="BD491" s="3" t="s">
        <v>6301</v>
      </c>
    </row>
    <row r="492" spans="1:56" ht="39" customHeight="1" x14ac:dyDescent="0.25">
      <c r="A492" s="7" t="s">
        <v>58</v>
      </c>
      <c r="B492" s="2" t="s">
        <v>6302</v>
      </c>
      <c r="C492" s="2" t="s">
        <v>6303</v>
      </c>
      <c r="D492" s="2" t="s">
        <v>6304</v>
      </c>
      <c r="F492" s="3" t="s">
        <v>58</v>
      </c>
      <c r="G492" s="3" t="s">
        <v>59</v>
      </c>
      <c r="H492" s="3" t="s">
        <v>58</v>
      </c>
      <c r="I492" s="3" t="s">
        <v>58</v>
      </c>
      <c r="J492" s="3" t="s">
        <v>60</v>
      </c>
      <c r="L492" s="2" t="s">
        <v>3136</v>
      </c>
      <c r="M492" s="3" t="s">
        <v>318</v>
      </c>
      <c r="O492" s="3" t="s">
        <v>65</v>
      </c>
      <c r="P492" s="3" t="s">
        <v>84</v>
      </c>
      <c r="R492" s="3" t="s">
        <v>68</v>
      </c>
      <c r="S492" s="4">
        <v>1</v>
      </c>
      <c r="T492" s="4">
        <v>1</v>
      </c>
      <c r="U492" s="5" t="s">
        <v>6305</v>
      </c>
      <c r="V492" s="5" t="s">
        <v>6305</v>
      </c>
      <c r="W492" s="5" t="s">
        <v>6306</v>
      </c>
      <c r="X492" s="5" t="s">
        <v>6306</v>
      </c>
      <c r="Y492" s="4">
        <v>270</v>
      </c>
      <c r="Z492" s="4">
        <v>223</v>
      </c>
      <c r="AA492" s="4">
        <v>225</v>
      </c>
      <c r="AB492" s="4">
        <v>3</v>
      </c>
      <c r="AC492" s="4">
        <v>3</v>
      </c>
      <c r="AD492" s="4">
        <v>17</v>
      </c>
      <c r="AE492" s="4">
        <v>17</v>
      </c>
      <c r="AF492" s="4">
        <v>5</v>
      </c>
      <c r="AG492" s="4">
        <v>5</v>
      </c>
      <c r="AH492" s="4">
        <v>4</v>
      </c>
      <c r="AI492" s="4">
        <v>4</v>
      </c>
      <c r="AJ492" s="4">
        <v>9</v>
      </c>
      <c r="AK492" s="4">
        <v>9</v>
      </c>
      <c r="AL492" s="4">
        <v>2</v>
      </c>
      <c r="AM492" s="4">
        <v>2</v>
      </c>
      <c r="AN492" s="4">
        <v>0</v>
      </c>
      <c r="AO492" s="4">
        <v>0</v>
      </c>
      <c r="AP492" s="3" t="s">
        <v>58</v>
      </c>
      <c r="AQ492" s="3" t="s">
        <v>132</v>
      </c>
      <c r="AR492" s="6" t="str">
        <f>HYPERLINK("http://catalog.hathitrust.org/Record/004013786","HathiTrust Record")</f>
        <v>HathiTrust Record</v>
      </c>
      <c r="AS492" s="6" t="str">
        <f>HYPERLINK("https://creighton-primo.hosted.exlibrisgroup.com/primo-explore/search?tab=default_tab&amp;search_scope=EVERYTHING&amp;vid=01CRU&amp;lang=en_US&amp;offset=0&amp;query=any,contains,991003221509702656","Catalog Record")</f>
        <v>Catalog Record</v>
      </c>
      <c r="AT492" s="6" t="str">
        <f>HYPERLINK("http://www.worldcat.org/oclc/39811737","WorldCat Record")</f>
        <v>WorldCat Record</v>
      </c>
      <c r="AU492" s="3" t="s">
        <v>6307</v>
      </c>
      <c r="AV492" s="3" t="s">
        <v>6308</v>
      </c>
      <c r="AW492" s="3" t="s">
        <v>6309</v>
      </c>
      <c r="AX492" s="3" t="s">
        <v>6309</v>
      </c>
      <c r="AY492" s="3" t="s">
        <v>6310</v>
      </c>
      <c r="AZ492" s="3" t="s">
        <v>75</v>
      </c>
      <c r="BB492" s="3" t="s">
        <v>6311</v>
      </c>
      <c r="BC492" s="3" t="s">
        <v>6312</v>
      </c>
      <c r="BD492" s="3" t="s">
        <v>6313</v>
      </c>
    </row>
    <row r="493" spans="1:56" ht="39" customHeight="1" x14ac:dyDescent="0.25">
      <c r="A493" s="7" t="s">
        <v>58</v>
      </c>
      <c r="B493" s="2" t="s">
        <v>6314</v>
      </c>
      <c r="C493" s="2" t="s">
        <v>6315</v>
      </c>
      <c r="D493" s="2" t="s">
        <v>6316</v>
      </c>
      <c r="F493" s="3" t="s">
        <v>58</v>
      </c>
      <c r="G493" s="3" t="s">
        <v>59</v>
      </c>
      <c r="H493" s="3" t="s">
        <v>58</v>
      </c>
      <c r="I493" s="3" t="s">
        <v>58</v>
      </c>
      <c r="J493" s="3" t="s">
        <v>60</v>
      </c>
      <c r="K493" s="2" t="s">
        <v>6317</v>
      </c>
      <c r="L493" s="2" t="s">
        <v>6318</v>
      </c>
      <c r="M493" s="3" t="s">
        <v>709</v>
      </c>
      <c r="O493" s="3" t="s">
        <v>65</v>
      </c>
      <c r="P493" s="3" t="s">
        <v>201</v>
      </c>
      <c r="R493" s="3" t="s">
        <v>68</v>
      </c>
      <c r="S493" s="4">
        <v>2</v>
      </c>
      <c r="T493" s="4">
        <v>2</v>
      </c>
      <c r="U493" s="5" t="s">
        <v>6319</v>
      </c>
      <c r="V493" s="5" t="s">
        <v>6319</v>
      </c>
      <c r="W493" s="5" t="s">
        <v>6320</v>
      </c>
      <c r="X493" s="5" t="s">
        <v>6320</v>
      </c>
      <c r="Y493" s="4">
        <v>213</v>
      </c>
      <c r="Z493" s="4">
        <v>178</v>
      </c>
      <c r="AA493" s="4">
        <v>186</v>
      </c>
      <c r="AB493" s="4">
        <v>1</v>
      </c>
      <c r="AC493" s="4">
        <v>1</v>
      </c>
      <c r="AD493" s="4">
        <v>23</v>
      </c>
      <c r="AE493" s="4">
        <v>24</v>
      </c>
      <c r="AF493" s="4">
        <v>7</v>
      </c>
      <c r="AG493" s="4">
        <v>8</v>
      </c>
      <c r="AH493" s="4">
        <v>7</v>
      </c>
      <c r="AI493" s="4">
        <v>7</v>
      </c>
      <c r="AJ493" s="4">
        <v>17</v>
      </c>
      <c r="AK493" s="4">
        <v>18</v>
      </c>
      <c r="AL493" s="4">
        <v>0</v>
      </c>
      <c r="AM493" s="4">
        <v>0</v>
      </c>
      <c r="AN493" s="4">
        <v>0</v>
      </c>
      <c r="AO493" s="4">
        <v>0</v>
      </c>
      <c r="AP493" s="3" t="s">
        <v>58</v>
      </c>
      <c r="AQ493" s="3" t="s">
        <v>132</v>
      </c>
      <c r="AR493" s="6" t="str">
        <f>HYPERLINK("http://catalog.hathitrust.org/Record/006019308","HathiTrust Record")</f>
        <v>HathiTrust Record</v>
      </c>
      <c r="AS493" s="6" t="str">
        <f>HYPERLINK("https://creighton-primo.hosted.exlibrisgroup.com/primo-explore/search?tab=default_tab&amp;search_scope=EVERYTHING&amp;vid=01CRU&amp;lang=en_US&amp;offset=0&amp;query=any,contains,991001751349702656","Catalog Record")</f>
        <v>Catalog Record</v>
      </c>
      <c r="AT493" s="6" t="str">
        <f>HYPERLINK("http://www.worldcat.org/oclc/22182658","WorldCat Record")</f>
        <v>WorldCat Record</v>
      </c>
      <c r="AU493" s="3" t="s">
        <v>6321</v>
      </c>
      <c r="AV493" s="3" t="s">
        <v>6322</v>
      </c>
      <c r="AW493" s="3" t="s">
        <v>6323</v>
      </c>
      <c r="AX493" s="3" t="s">
        <v>6323</v>
      </c>
      <c r="AY493" s="3" t="s">
        <v>6324</v>
      </c>
      <c r="AZ493" s="3" t="s">
        <v>75</v>
      </c>
      <c r="BB493" s="3" t="s">
        <v>6325</v>
      </c>
      <c r="BC493" s="3" t="s">
        <v>6326</v>
      </c>
      <c r="BD493" s="3" t="s">
        <v>6327</v>
      </c>
    </row>
    <row r="494" spans="1:56" ht="39" customHeight="1" x14ac:dyDescent="0.25">
      <c r="A494" s="7" t="s">
        <v>58</v>
      </c>
      <c r="B494" s="2" t="s">
        <v>6328</v>
      </c>
      <c r="C494" s="2" t="s">
        <v>6329</v>
      </c>
      <c r="D494" s="2" t="s">
        <v>6330</v>
      </c>
      <c r="F494" s="3" t="s">
        <v>58</v>
      </c>
      <c r="G494" s="3" t="s">
        <v>59</v>
      </c>
      <c r="H494" s="3" t="s">
        <v>58</v>
      </c>
      <c r="I494" s="3" t="s">
        <v>58</v>
      </c>
      <c r="J494" s="3" t="s">
        <v>60</v>
      </c>
      <c r="K494" s="2" t="s">
        <v>5386</v>
      </c>
      <c r="L494" s="2" t="s">
        <v>6331</v>
      </c>
      <c r="M494" s="3" t="s">
        <v>112</v>
      </c>
      <c r="O494" s="3" t="s">
        <v>65</v>
      </c>
      <c r="P494" s="3" t="s">
        <v>1246</v>
      </c>
      <c r="R494" s="3" t="s">
        <v>68</v>
      </c>
      <c r="S494" s="4">
        <v>1</v>
      </c>
      <c r="T494" s="4">
        <v>1</v>
      </c>
      <c r="U494" s="5" t="s">
        <v>3343</v>
      </c>
      <c r="V494" s="5" t="s">
        <v>3343</v>
      </c>
      <c r="W494" s="5" t="s">
        <v>3343</v>
      </c>
      <c r="X494" s="5" t="s">
        <v>3343</v>
      </c>
      <c r="Y494" s="4">
        <v>97</v>
      </c>
      <c r="Z494" s="4">
        <v>83</v>
      </c>
      <c r="AA494" s="4">
        <v>86</v>
      </c>
      <c r="AB494" s="4">
        <v>1</v>
      </c>
      <c r="AC494" s="4">
        <v>1</v>
      </c>
      <c r="AD494" s="4">
        <v>13</v>
      </c>
      <c r="AE494" s="4">
        <v>13</v>
      </c>
      <c r="AF494" s="4">
        <v>4</v>
      </c>
      <c r="AG494" s="4">
        <v>4</v>
      </c>
      <c r="AH494" s="4">
        <v>5</v>
      </c>
      <c r="AI494" s="4">
        <v>5</v>
      </c>
      <c r="AJ494" s="4">
        <v>8</v>
      </c>
      <c r="AK494" s="4">
        <v>8</v>
      </c>
      <c r="AL494" s="4">
        <v>0</v>
      </c>
      <c r="AM494" s="4">
        <v>0</v>
      </c>
      <c r="AN494" s="4">
        <v>0</v>
      </c>
      <c r="AO494" s="4">
        <v>0</v>
      </c>
      <c r="AP494" s="3" t="s">
        <v>58</v>
      </c>
      <c r="AQ494" s="3" t="s">
        <v>58</v>
      </c>
      <c r="AS494" s="6" t="str">
        <f>HYPERLINK("https://creighton-primo.hosted.exlibrisgroup.com/primo-explore/search?tab=default_tab&amp;search_scope=EVERYTHING&amp;vid=01CRU&amp;lang=en_US&amp;offset=0&amp;query=any,contains,991005328569702656","Catalog Record")</f>
        <v>Catalog Record</v>
      </c>
      <c r="AT494" s="6" t="str">
        <f>HYPERLINK("http://www.worldcat.org/oclc/27086236","WorldCat Record")</f>
        <v>WorldCat Record</v>
      </c>
      <c r="AU494" s="3" t="s">
        <v>6332</v>
      </c>
      <c r="AV494" s="3" t="s">
        <v>6333</v>
      </c>
      <c r="AW494" s="3" t="s">
        <v>6334</v>
      </c>
      <c r="AX494" s="3" t="s">
        <v>6334</v>
      </c>
      <c r="AY494" s="3" t="s">
        <v>6335</v>
      </c>
      <c r="AZ494" s="3" t="s">
        <v>75</v>
      </c>
      <c r="BB494" s="3" t="s">
        <v>6336</v>
      </c>
      <c r="BC494" s="3" t="s">
        <v>6337</v>
      </c>
      <c r="BD494" s="3" t="s">
        <v>6338</v>
      </c>
    </row>
    <row r="495" spans="1:56" ht="39" customHeight="1" x14ac:dyDescent="0.25">
      <c r="A495" s="7" t="s">
        <v>58</v>
      </c>
      <c r="B495" s="2" t="s">
        <v>6339</v>
      </c>
      <c r="C495" s="2" t="s">
        <v>6340</v>
      </c>
      <c r="D495" s="2" t="s">
        <v>6341</v>
      </c>
      <c r="F495" s="3" t="s">
        <v>58</v>
      </c>
      <c r="G495" s="3" t="s">
        <v>59</v>
      </c>
      <c r="H495" s="3" t="s">
        <v>58</v>
      </c>
      <c r="I495" s="3" t="s">
        <v>58</v>
      </c>
      <c r="J495" s="3" t="s">
        <v>60</v>
      </c>
      <c r="K495" s="2" t="s">
        <v>6342</v>
      </c>
      <c r="L495" s="2" t="s">
        <v>6343</v>
      </c>
      <c r="M495" s="3" t="s">
        <v>1046</v>
      </c>
      <c r="O495" s="3" t="s">
        <v>65</v>
      </c>
      <c r="P495" s="3" t="s">
        <v>1345</v>
      </c>
      <c r="R495" s="3" t="s">
        <v>68</v>
      </c>
      <c r="S495" s="4">
        <v>4</v>
      </c>
      <c r="T495" s="4">
        <v>4</v>
      </c>
      <c r="U495" s="5" t="s">
        <v>6344</v>
      </c>
      <c r="V495" s="5" t="s">
        <v>6344</v>
      </c>
      <c r="W495" s="5" t="s">
        <v>6345</v>
      </c>
      <c r="X495" s="5" t="s">
        <v>6345</v>
      </c>
      <c r="Y495" s="4">
        <v>215</v>
      </c>
      <c r="Z495" s="4">
        <v>191</v>
      </c>
      <c r="AA495" s="4">
        <v>193</v>
      </c>
      <c r="AB495" s="4">
        <v>2</v>
      </c>
      <c r="AC495" s="4">
        <v>2</v>
      </c>
      <c r="AD495" s="4">
        <v>21</v>
      </c>
      <c r="AE495" s="4">
        <v>21</v>
      </c>
      <c r="AF495" s="4">
        <v>7</v>
      </c>
      <c r="AG495" s="4">
        <v>7</v>
      </c>
      <c r="AH495" s="4">
        <v>4</v>
      </c>
      <c r="AI495" s="4">
        <v>4</v>
      </c>
      <c r="AJ495" s="4">
        <v>15</v>
      </c>
      <c r="AK495" s="4">
        <v>15</v>
      </c>
      <c r="AL495" s="4">
        <v>1</v>
      </c>
      <c r="AM495" s="4">
        <v>1</v>
      </c>
      <c r="AN495" s="4">
        <v>0</v>
      </c>
      <c r="AO495" s="4">
        <v>0</v>
      </c>
      <c r="AP495" s="3" t="s">
        <v>58</v>
      </c>
      <c r="AQ495" s="3" t="s">
        <v>132</v>
      </c>
      <c r="AR495" s="6" t="str">
        <f>HYPERLINK("http://catalog.hathitrust.org/Record/002884015","HathiTrust Record")</f>
        <v>HathiTrust Record</v>
      </c>
      <c r="AS495" s="6" t="str">
        <f>HYPERLINK("https://creighton-primo.hosted.exlibrisgroup.com/primo-explore/search?tab=default_tab&amp;search_scope=EVERYTHING&amp;vid=01CRU&amp;lang=en_US&amp;offset=0&amp;query=any,contains,991001024999702656","Catalog Record")</f>
        <v>Catalog Record</v>
      </c>
      <c r="AT495" s="6" t="str">
        <f>HYPERLINK("http://www.worldcat.org/oclc/15431852","WorldCat Record")</f>
        <v>WorldCat Record</v>
      </c>
      <c r="AU495" s="3" t="s">
        <v>6346</v>
      </c>
      <c r="AV495" s="3" t="s">
        <v>6347</v>
      </c>
      <c r="AW495" s="3" t="s">
        <v>6348</v>
      </c>
      <c r="AX495" s="3" t="s">
        <v>6348</v>
      </c>
      <c r="AY495" s="3" t="s">
        <v>6349</v>
      </c>
      <c r="AZ495" s="3" t="s">
        <v>75</v>
      </c>
      <c r="BB495" s="3" t="s">
        <v>6350</v>
      </c>
      <c r="BC495" s="3" t="s">
        <v>6351</v>
      </c>
      <c r="BD495" s="3" t="s">
        <v>6352</v>
      </c>
    </row>
    <row r="496" spans="1:56" ht="39" customHeight="1" x14ac:dyDescent="0.25">
      <c r="A496" s="7" t="s">
        <v>58</v>
      </c>
      <c r="B496" s="2" t="s">
        <v>6353</v>
      </c>
      <c r="C496" s="2" t="s">
        <v>6354</v>
      </c>
      <c r="D496" s="2" t="s">
        <v>6355</v>
      </c>
      <c r="F496" s="3" t="s">
        <v>58</v>
      </c>
      <c r="G496" s="3" t="s">
        <v>59</v>
      </c>
      <c r="H496" s="3" t="s">
        <v>58</v>
      </c>
      <c r="I496" s="3" t="s">
        <v>58</v>
      </c>
      <c r="J496" s="3" t="s">
        <v>60</v>
      </c>
      <c r="K496" s="2" t="s">
        <v>6356</v>
      </c>
      <c r="L496" s="2" t="s">
        <v>6357</v>
      </c>
      <c r="M496" s="3" t="s">
        <v>303</v>
      </c>
      <c r="N496" s="2" t="s">
        <v>476</v>
      </c>
      <c r="O496" s="3" t="s">
        <v>65</v>
      </c>
      <c r="P496" s="3" t="s">
        <v>186</v>
      </c>
      <c r="R496" s="3" t="s">
        <v>68</v>
      </c>
      <c r="S496" s="4">
        <v>3</v>
      </c>
      <c r="T496" s="4">
        <v>3</v>
      </c>
      <c r="U496" s="5" t="s">
        <v>6167</v>
      </c>
      <c r="V496" s="5" t="s">
        <v>6167</v>
      </c>
      <c r="W496" s="5" t="s">
        <v>6244</v>
      </c>
      <c r="X496" s="5" t="s">
        <v>6244</v>
      </c>
      <c r="Y496" s="4">
        <v>117</v>
      </c>
      <c r="Z496" s="4">
        <v>102</v>
      </c>
      <c r="AA496" s="4">
        <v>102</v>
      </c>
      <c r="AB496" s="4">
        <v>2</v>
      </c>
      <c r="AC496" s="4">
        <v>2</v>
      </c>
      <c r="AD496" s="4">
        <v>10</v>
      </c>
      <c r="AE496" s="4">
        <v>10</v>
      </c>
      <c r="AF496" s="4">
        <v>1</v>
      </c>
      <c r="AG496" s="4">
        <v>1</v>
      </c>
      <c r="AH496" s="4">
        <v>2</v>
      </c>
      <c r="AI496" s="4">
        <v>2</v>
      </c>
      <c r="AJ496" s="4">
        <v>8</v>
      </c>
      <c r="AK496" s="4">
        <v>8</v>
      </c>
      <c r="AL496" s="4">
        <v>0</v>
      </c>
      <c r="AM496" s="4">
        <v>0</v>
      </c>
      <c r="AN496" s="4">
        <v>0</v>
      </c>
      <c r="AO496" s="4">
        <v>0</v>
      </c>
      <c r="AP496" s="3" t="s">
        <v>58</v>
      </c>
      <c r="AQ496" s="3" t="s">
        <v>58</v>
      </c>
      <c r="AS496" s="6" t="str">
        <f>HYPERLINK("https://creighton-primo.hosted.exlibrisgroup.com/primo-explore/search?tab=default_tab&amp;search_scope=EVERYTHING&amp;vid=01CRU&amp;lang=en_US&amp;offset=0&amp;query=any,contains,991004135879702656","Catalog Record")</f>
        <v>Catalog Record</v>
      </c>
      <c r="AT496" s="6" t="str">
        <f>HYPERLINK("http://www.worldcat.org/oclc/2485964","WorldCat Record")</f>
        <v>WorldCat Record</v>
      </c>
      <c r="AU496" s="3" t="s">
        <v>6358</v>
      </c>
      <c r="AV496" s="3" t="s">
        <v>6359</v>
      </c>
      <c r="AW496" s="3" t="s">
        <v>6360</v>
      </c>
      <c r="AX496" s="3" t="s">
        <v>6360</v>
      </c>
      <c r="AY496" s="3" t="s">
        <v>6361</v>
      </c>
      <c r="AZ496" s="3" t="s">
        <v>75</v>
      </c>
      <c r="BB496" s="3" t="s">
        <v>6362</v>
      </c>
      <c r="BC496" s="3" t="s">
        <v>6363</v>
      </c>
      <c r="BD496" s="3" t="s">
        <v>6364</v>
      </c>
    </row>
    <row r="497" spans="1:56" ht="39" customHeight="1" x14ac:dyDescent="0.25">
      <c r="A497" s="7" t="s">
        <v>58</v>
      </c>
      <c r="B497" s="2" t="s">
        <v>6365</v>
      </c>
      <c r="C497" s="2" t="s">
        <v>6366</v>
      </c>
      <c r="D497" s="2" t="s">
        <v>6367</v>
      </c>
      <c r="F497" s="3" t="s">
        <v>58</v>
      </c>
      <c r="G497" s="3" t="s">
        <v>59</v>
      </c>
      <c r="H497" s="3" t="s">
        <v>58</v>
      </c>
      <c r="I497" s="3" t="s">
        <v>58</v>
      </c>
      <c r="J497" s="3" t="s">
        <v>60</v>
      </c>
      <c r="L497" s="2" t="s">
        <v>6368</v>
      </c>
      <c r="M497" s="3" t="s">
        <v>289</v>
      </c>
      <c r="O497" s="3" t="s">
        <v>65</v>
      </c>
      <c r="P497" s="3" t="s">
        <v>967</v>
      </c>
      <c r="R497" s="3" t="s">
        <v>68</v>
      </c>
      <c r="S497" s="4">
        <v>1</v>
      </c>
      <c r="T497" s="4">
        <v>1</v>
      </c>
      <c r="U497" s="5" t="s">
        <v>6369</v>
      </c>
      <c r="V497" s="5" t="s">
        <v>6369</v>
      </c>
      <c r="W497" s="5" t="s">
        <v>6244</v>
      </c>
      <c r="X497" s="5" t="s">
        <v>6244</v>
      </c>
      <c r="Y497" s="4">
        <v>202</v>
      </c>
      <c r="Z497" s="4">
        <v>176</v>
      </c>
      <c r="AA497" s="4">
        <v>259</v>
      </c>
      <c r="AB497" s="4">
        <v>3</v>
      </c>
      <c r="AC497" s="4">
        <v>4</v>
      </c>
      <c r="AD497" s="4">
        <v>14</v>
      </c>
      <c r="AE497" s="4">
        <v>21</v>
      </c>
      <c r="AF497" s="4">
        <v>3</v>
      </c>
      <c r="AG497" s="4">
        <v>6</v>
      </c>
      <c r="AH497" s="4">
        <v>5</v>
      </c>
      <c r="AI497" s="4">
        <v>6</v>
      </c>
      <c r="AJ497" s="4">
        <v>7</v>
      </c>
      <c r="AK497" s="4">
        <v>12</v>
      </c>
      <c r="AL497" s="4">
        <v>2</v>
      </c>
      <c r="AM497" s="4">
        <v>3</v>
      </c>
      <c r="AN497" s="4">
        <v>0</v>
      </c>
      <c r="AO497" s="4">
        <v>0</v>
      </c>
      <c r="AP497" s="3" t="s">
        <v>58</v>
      </c>
      <c r="AQ497" s="3" t="s">
        <v>132</v>
      </c>
      <c r="AR497" s="6" t="str">
        <f>HYPERLINK("http://catalog.hathitrust.org/Record/000223125","HathiTrust Record")</f>
        <v>HathiTrust Record</v>
      </c>
      <c r="AS497" s="6" t="str">
        <f>HYPERLINK("https://creighton-primo.hosted.exlibrisgroup.com/primo-explore/search?tab=default_tab&amp;search_scope=EVERYTHING&amp;vid=01CRU&amp;lang=en_US&amp;offset=0&amp;query=any,contains,991005108419702656","Catalog Record")</f>
        <v>Catalog Record</v>
      </c>
      <c r="AT497" s="6" t="str">
        <f>HYPERLINK("http://www.worldcat.org/oclc/7376868","WorldCat Record")</f>
        <v>WorldCat Record</v>
      </c>
      <c r="AU497" s="3" t="s">
        <v>6370</v>
      </c>
      <c r="AV497" s="3" t="s">
        <v>6371</v>
      </c>
      <c r="AW497" s="3" t="s">
        <v>6372</v>
      </c>
      <c r="AX497" s="3" t="s">
        <v>6372</v>
      </c>
      <c r="AY497" s="3" t="s">
        <v>6373</v>
      </c>
      <c r="AZ497" s="3" t="s">
        <v>75</v>
      </c>
      <c r="BB497" s="3" t="s">
        <v>6374</v>
      </c>
      <c r="BC497" s="3" t="s">
        <v>6375</v>
      </c>
      <c r="BD497" s="3" t="s">
        <v>6376</v>
      </c>
    </row>
    <row r="498" spans="1:56" ht="39" customHeight="1" x14ac:dyDescent="0.25">
      <c r="A498" s="7" t="s">
        <v>58</v>
      </c>
      <c r="B498" s="2" t="s">
        <v>6377</v>
      </c>
      <c r="C498" s="2" t="s">
        <v>6378</v>
      </c>
      <c r="D498" s="2" t="s">
        <v>6379</v>
      </c>
      <c r="F498" s="3" t="s">
        <v>58</v>
      </c>
      <c r="G498" s="3" t="s">
        <v>59</v>
      </c>
      <c r="H498" s="3" t="s">
        <v>58</v>
      </c>
      <c r="I498" s="3" t="s">
        <v>58</v>
      </c>
      <c r="J498" s="3" t="s">
        <v>60</v>
      </c>
      <c r="K498" s="2" t="s">
        <v>6380</v>
      </c>
      <c r="L498" s="2" t="s">
        <v>6381</v>
      </c>
      <c r="M498" s="3" t="s">
        <v>427</v>
      </c>
      <c r="O498" s="3" t="s">
        <v>65</v>
      </c>
      <c r="P498" s="3" t="s">
        <v>186</v>
      </c>
      <c r="R498" s="3" t="s">
        <v>68</v>
      </c>
      <c r="S498" s="4">
        <v>2</v>
      </c>
      <c r="T498" s="4">
        <v>2</v>
      </c>
      <c r="U498" s="5" t="s">
        <v>6382</v>
      </c>
      <c r="V498" s="5" t="s">
        <v>6382</v>
      </c>
      <c r="W498" s="5" t="s">
        <v>6244</v>
      </c>
      <c r="X498" s="5" t="s">
        <v>6244</v>
      </c>
      <c r="Y498" s="4">
        <v>81</v>
      </c>
      <c r="Z498" s="4">
        <v>72</v>
      </c>
      <c r="AA498" s="4">
        <v>79</v>
      </c>
      <c r="AB498" s="4">
        <v>1</v>
      </c>
      <c r="AC498" s="4">
        <v>1</v>
      </c>
      <c r="AD498" s="4">
        <v>8</v>
      </c>
      <c r="AE498" s="4">
        <v>8</v>
      </c>
      <c r="AF498" s="4">
        <v>2</v>
      </c>
      <c r="AG498" s="4">
        <v>2</v>
      </c>
      <c r="AH498" s="4">
        <v>1</v>
      </c>
      <c r="AI498" s="4">
        <v>1</v>
      </c>
      <c r="AJ498" s="4">
        <v>6</v>
      </c>
      <c r="AK498" s="4">
        <v>6</v>
      </c>
      <c r="AL498" s="4">
        <v>0</v>
      </c>
      <c r="AM498" s="4">
        <v>0</v>
      </c>
      <c r="AN498" s="4">
        <v>0</v>
      </c>
      <c r="AO498" s="4">
        <v>0</v>
      </c>
      <c r="AP498" s="3" t="s">
        <v>58</v>
      </c>
      <c r="AQ498" s="3" t="s">
        <v>58</v>
      </c>
      <c r="AS498" s="6" t="str">
        <f>HYPERLINK("https://creighton-primo.hosted.exlibrisgroup.com/primo-explore/search?tab=default_tab&amp;search_scope=EVERYTHING&amp;vid=01CRU&amp;lang=en_US&amp;offset=0&amp;query=any,contains,991004919139702656","Catalog Record")</f>
        <v>Catalog Record</v>
      </c>
      <c r="AT498" s="6" t="str">
        <f>HYPERLINK("http://www.worldcat.org/oclc/6040932","WorldCat Record")</f>
        <v>WorldCat Record</v>
      </c>
      <c r="AU498" s="3" t="s">
        <v>6383</v>
      </c>
      <c r="AV498" s="3" t="s">
        <v>6384</v>
      </c>
      <c r="AW498" s="3" t="s">
        <v>6385</v>
      </c>
      <c r="AX498" s="3" t="s">
        <v>6385</v>
      </c>
      <c r="AY498" s="3" t="s">
        <v>6386</v>
      </c>
      <c r="AZ498" s="3" t="s">
        <v>75</v>
      </c>
      <c r="BC498" s="3" t="s">
        <v>6387</v>
      </c>
      <c r="BD498" s="3" t="s">
        <v>6388</v>
      </c>
    </row>
    <row r="499" spans="1:56" ht="39" customHeight="1" x14ac:dyDescent="0.25">
      <c r="A499" s="7" t="s">
        <v>58</v>
      </c>
      <c r="B499" s="2" t="s">
        <v>6389</v>
      </c>
      <c r="C499" s="2" t="s">
        <v>6390</v>
      </c>
      <c r="D499" s="2" t="s">
        <v>6391</v>
      </c>
      <c r="F499" s="3" t="s">
        <v>58</v>
      </c>
      <c r="G499" s="3" t="s">
        <v>59</v>
      </c>
      <c r="H499" s="3" t="s">
        <v>58</v>
      </c>
      <c r="I499" s="3" t="s">
        <v>58</v>
      </c>
      <c r="J499" s="3" t="s">
        <v>60</v>
      </c>
      <c r="K499" s="2" t="s">
        <v>6392</v>
      </c>
      <c r="L499" s="2" t="s">
        <v>6393</v>
      </c>
      <c r="M499" s="3" t="s">
        <v>128</v>
      </c>
      <c r="O499" s="3" t="s">
        <v>65</v>
      </c>
      <c r="P499" s="3" t="s">
        <v>477</v>
      </c>
      <c r="R499" s="3" t="s">
        <v>68</v>
      </c>
      <c r="S499" s="4">
        <v>2</v>
      </c>
      <c r="T499" s="4">
        <v>2</v>
      </c>
      <c r="U499" s="5" t="s">
        <v>6382</v>
      </c>
      <c r="V499" s="5" t="s">
        <v>6382</v>
      </c>
      <c r="W499" s="5" t="s">
        <v>6244</v>
      </c>
      <c r="X499" s="5" t="s">
        <v>6244</v>
      </c>
      <c r="Y499" s="4">
        <v>234</v>
      </c>
      <c r="Z499" s="4">
        <v>223</v>
      </c>
      <c r="AA499" s="4">
        <v>230</v>
      </c>
      <c r="AB499" s="4">
        <v>2</v>
      </c>
      <c r="AC499" s="4">
        <v>2</v>
      </c>
      <c r="AD499" s="4">
        <v>10</v>
      </c>
      <c r="AE499" s="4">
        <v>10</v>
      </c>
      <c r="AF499" s="4">
        <v>4</v>
      </c>
      <c r="AG499" s="4">
        <v>4</v>
      </c>
      <c r="AH499" s="4">
        <v>1</v>
      </c>
      <c r="AI499" s="4">
        <v>1</v>
      </c>
      <c r="AJ499" s="4">
        <v>6</v>
      </c>
      <c r="AK499" s="4">
        <v>6</v>
      </c>
      <c r="AL499" s="4">
        <v>1</v>
      </c>
      <c r="AM499" s="4">
        <v>1</v>
      </c>
      <c r="AN499" s="4">
        <v>0</v>
      </c>
      <c r="AO499" s="4">
        <v>0</v>
      </c>
      <c r="AP499" s="3" t="s">
        <v>58</v>
      </c>
      <c r="AQ499" s="3" t="s">
        <v>132</v>
      </c>
      <c r="AR499" s="6" t="str">
        <f>HYPERLINK("http://catalog.hathitrust.org/Record/000742570","HathiTrust Record")</f>
        <v>HathiTrust Record</v>
      </c>
      <c r="AS499" s="6" t="str">
        <f>HYPERLINK("https://creighton-primo.hosted.exlibrisgroup.com/primo-explore/search?tab=default_tab&amp;search_scope=EVERYTHING&amp;vid=01CRU&amp;lang=en_US&amp;offset=0&amp;query=any,contains,991004462219702656","Catalog Record")</f>
        <v>Catalog Record</v>
      </c>
      <c r="AT499" s="6" t="str">
        <f>HYPERLINK("http://www.worldcat.org/oclc/3547531","WorldCat Record")</f>
        <v>WorldCat Record</v>
      </c>
      <c r="AU499" s="3" t="s">
        <v>6394</v>
      </c>
      <c r="AV499" s="3" t="s">
        <v>6395</v>
      </c>
      <c r="AW499" s="3" t="s">
        <v>6396</v>
      </c>
      <c r="AX499" s="3" t="s">
        <v>6396</v>
      </c>
      <c r="AY499" s="3" t="s">
        <v>6397</v>
      </c>
      <c r="AZ499" s="3" t="s">
        <v>75</v>
      </c>
      <c r="BB499" s="3" t="s">
        <v>6398</v>
      </c>
      <c r="BC499" s="3" t="s">
        <v>6399</v>
      </c>
      <c r="BD499" s="3" t="s">
        <v>6400</v>
      </c>
    </row>
    <row r="500" spans="1:56" ht="39" customHeight="1" x14ac:dyDescent="0.25">
      <c r="A500" s="7" t="s">
        <v>58</v>
      </c>
      <c r="B500" s="2" t="s">
        <v>6401</v>
      </c>
      <c r="C500" s="2" t="s">
        <v>6402</v>
      </c>
      <c r="D500" s="2" t="s">
        <v>6403</v>
      </c>
      <c r="F500" s="3" t="s">
        <v>58</v>
      </c>
      <c r="G500" s="3" t="s">
        <v>59</v>
      </c>
      <c r="H500" s="3" t="s">
        <v>58</v>
      </c>
      <c r="I500" s="3" t="s">
        <v>58</v>
      </c>
      <c r="J500" s="3" t="s">
        <v>60</v>
      </c>
      <c r="L500" s="2" t="s">
        <v>6404</v>
      </c>
      <c r="M500" s="3" t="s">
        <v>289</v>
      </c>
      <c r="N500" s="2" t="s">
        <v>476</v>
      </c>
      <c r="O500" s="3" t="s">
        <v>65</v>
      </c>
      <c r="P500" s="3" t="s">
        <v>477</v>
      </c>
      <c r="R500" s="3" t="s">
        <v>68</v>
      </c>
      <c r="S500" s="4">
        <v>2</v>
      </c>
      <c r="T500" s="4">
        <v>2</v>
      </c>
      <c r="U500" s="5" t="s">
        <v>6405</v>
      </c>
      <c r="V500" s="5" t="s">
        <v>6405</v>
      </c>
      <c r="W500" s="5" t="s">
        <v>6244</v>
      </c>
      <c r="X500" s="5" t="s">
        <v>6244</v>
      </c>
      <c r="Y500" s="4">
        <v>561</v>
      </c>
      <c r="Z500" s="4">
        <v>505</v>
      </c>
      <c r="AA500" s="4">
        <v>601</v>
      </c>
      <c r="AB500" s="4">
        <v>4</v>
      </c>
      <c r="AC500" s="4">
        <v>4</v>
      </c>
      <c r="AD500" s="4">
        <v>25</v>
      </c>
      <c r="AE500" s="4">
        <v>26</v>
      </c>
      <c r="AF500" s="4">
        <v>9</v>
      </c>
      <c r="AG500" s="4">
        <v>10</v>
      </c>
      <c r="AH500" s="4">
        <v>5</v>
      </c>
      <c r="AI500" s="4">
        <v>5</v>
      </c>
      <c r="AJ500" s="4">
        <v>11</v>
      </c>
      <c r="AK500" s="4">
        <v>12</v>
      </c>
      <c r="AL500" s="4">
        <v>3</v>
      </c>
      <c r="AM500" s="4">
        <v>3</v>
      </c>
      <c r="AN500" s="4">
        <v>0</v>
      </c>
      <c r="AO500" s="4">
        <v>0</v>
      </c>
      <c r="AP500" s="3" t="s">
        <v>58</v>
      </c>
      <c r="AQ500" s="3" t="s">
        <v>132</v>
      </c>
      <c r="AR500" s="6" t="str">
        <f>HYPERLINK("http://catalog.hathitrust.org/Record/000717102","HathiTrust Record")</f>
        <v>HathiTrust Record</v>
      </c>
      <c r="AS500" s="6" t="str">
        <f>HYPERLINK("https://creighton-primo.hosted.exlibrisgroup.com/primo-explore/search?tab=default_tab&amp;search_scope=EVERYTHING&amp;vid=01CRU&amp;lang=en_US&amp;offset=0&amp;query=any,contains,991005020829702656","Catalog Record")</f>
        <v>Catalog Record</v>
      </c>
      <c r="AT500" s="6" t="str">
        <f>HYPERLINK("http://www.worldcat.org/oclc/6649608","WorldCat Record")</f>
        <v>WorldCat Record</v>
      </c>
      <c r="AU500" s="3" t="s">
        <v>6406</v>
      </c>
      <c r="AV500" s="3" t="s">
        <v>6407</v>
      </c>
      <c r="AW500" s="3" t="s">
        <v>6408</v>
      </c>
      <c r="AX500" s="3" t="s">
        <v>6408</v>
      </c>
      <c r="AY500" s="3" t="s">
        <v>6409</v>
      </c>
      <c r="AZ500" s="3" t="s">
        <v>75</v>
      </c>
      <c r="BB500" s="3" t="s">
        <v>6410</v>
      </c>
      <c r="BC500" s="3" t="s">
        <v>6411</v>
      </c>
      <c r="BD500" s="3" t="s">
        <v>6412</v>
      </c>
    </row>
    <row r="501" spans="1:56" ht="39" customHeight="1" x14ac:dyDescent="0.25">
      <c r="A501" s="7" t="s">
        <v>58</v>
      </c>
      <c r="B501" s="2" t="s">
        <v>6413</v>
      </c>
      <c r="C501" s="2" t="s">
        <v>6414</v>
      </c>
      <c r="D501" s="2" t="s">
        <v>6415</v>
      </c>
      <c r="F501" s="3" t="s">
        <v>58</v>
      </c>
      <c r="G501" s="3" t="s">
        <v>59</v>
      </c>
      <c r="H501" s="3" t="s">
        <v>58</v>
      </c>
      <c r="I501" s="3" t="s">
        <v>58</v>
      </c>
      <c r="J501" s="3" t="s">
        <v>60</v>
      </c>
      <c r="K501" s="2" t="s">
        <v>6416</v>
      </c>
      <c r="L501" s="2" t="s">
        <v>6417</v>
      </c>
      <c r="M501" s="3" t="s">
        <v>3656</v>
      </c>
      <c r="N501" s="2" t="s">
        <v>476</v>
      </c>
      <c r="O501" s="3" t="s">
        <v>65</v>
      </c>
      <c r="P501" s="3" t="s">
        <v>1724</v>
      </c>
      <c r="R501" s="3" t="s">
        <v>68</v>
      </c>
      <c r="S501" s="4">
        <v>1</v>
      </c>
      <c r="T501" s="4">
        <v>1</v>
      </c>
      <c r="U501" s="5" t="s">
        <v>6418</v>
      </c>
      <c r="V501" s="5" t="s">
        <v>6418</v>
      </c>
      <c r="W501" s="5" t="s">
        <v>6419</v>
      </c>
      <c r="X501" s="5" t="s">
        <v>6419</v>
      </c>
      <c r="Y501" s="4">
        <v>198</v>
      </c>
      <c r="Z501" s="4">
        <v>168</v>
      </c>
      <c r="AA501" s="4">
        <v>477</v>
      </c>
      <c r="AB501" s="4">
        <v>2</v>
      </c>
      <c r="AC501" s="4">
        <v>2</v>
      </c>
      <c r="AD501" s="4">
        <v>10</v>
      </c>
      <c r="AE501" s="4">
        <v>13</v>
      </c>
      <c r="AF501" s="4">
        <v>2</v>
      </c>
      <c r="AG501" s="4">
        <v>5</v>
      </c>
      <c r="AH501" s="4">
        <v>2</v>
      </c>
      <c r="AI501" s="4">
        <v>3</v>
      </c>
      <c r="AJ501" s="4">
        <v>6</v>
      </c>
      <c r="AK501" s="4">
        <v>6</v>
      </c>
      <c r="AL501" s="4">
        <v>1</v>
      </c>
      <c r="AM501" s="4">
        <v>1</v>
      </c>
      <c r="AN501" s="4">
        <v>0</v>
      </c>
      <c r="AO501" s="4">
        <v>0</v>
      </c>
      <c r="AP501" s="3" t="s">
        <v>58</v>
      </c>
      <c r="AQ501" s="3" t="s">
        <v>132</v>
      </c>
      <c r="AR501" s="6" t="str">
        <f>HYPERLINK("http://catalog.hathitrust.org/Record/003159020","HathiTrust Record")</f>
        <v>HathiTrust Record</v>
      </c>
      <c r="AS501" s="6" t="str">
        <f>HYPERLINK("https://creighton-primo.hosted.exlibrisgroup.com/primo-explore/search?tab=default_tab&amp;search_scope=EVERYTHING&amp;vid=01CRU&amp;lang=en_US&amp;offset=0&amp;query=any,contains,991002713779702656","Catalog Record")</f>
        <v>Catalog Record</v>
      </c>
      <c r="AT501" s="6" t="str">
        <f>HYPERLINK("http://www.worldcat.org/oclc/35593630","WorldCat Record")</f>
        <v>WorldCat Record</v>
      </c>
      <c r="AU501" s="3" t="s">
        <v>6420</v>
      </c>
      <c r="AV501" s="3" t="s">
        <v>6421</v>
      </c>
      <c r="AW501" s="3" t="s">
        <v>6422</v>
      </c>
      <c r="AX501" s="3" t="s">
        <v>6422</v>
      </c>
      <c r="AY501" s="3" t="s">
        <v>6423</v>
      </c>
      <c r="AZ501" s="3" t="s">
        <v>75</v>
      </c>
      <c r="BB501" s="3" t="s">
        <v>6424</v>
      </c>
      <c r="BC501" s="3" t="s">
        <v>6425</v>
      </c>
      <c r="BD501" s="3" t="s">
        <v>6426</v>
      </c>
    </row>
    <row r="502" spans="1:56" ht="39" customHeight="1" x14ac:dyDescent="0.25">
      <c r="A502" s="7" t="s">
        <v>58</v>
      </c>
      <c r="B502" s="2" t="s">
        <v>6427</v>
      </c>
      <c r="C502" s="2" t="s">
        <v>6428</v>
      </c>
      <c r="D502" s="2" t="s">
        <v>6429</v>
      </c>
      <c r="F502" s="3" t="s">
        <v>58</v>
      </c>
      <c r="G502" s="3" t="s">
        <v>59</v>
      </c>
      <c r="H502" s="3" t="s">
        <v>58</v>
      </c>
      <c r="I502" s="3" t="s">
        <v>58</v>
      </c>
      <c r="J502" s="3" t="s">
        <v>60</v>
      </c>
      <c r="K502" s="2" t="s">
        <v>3893</v>
      </c>
      <c r="L502" s="2" t="s">
        <v>6430</v>
      </c>
      <c r="M502" s="3" t="s">
        <v>144</v>
      </c>
      <c r="O502" s="3" t="s">
        <v>65</v>
      </c>
      <c r="P502" s="3" t="s">
        <v>113</v>
      </c>
      <c r="R502" s="3" t="s">
        <v>68</v>
      </c>
      <c r="S502" s="4">
        <v>3</v>
      </c>
      <c r="T502" s="4">
        <v>3</v>
      </c>
      <c r="U502" s="5" t="s">
        <v>6431</v>
      </c>
      <c r="V502" s="5" t="s">
        <v>6431</v>
      </c>
      <c r="W502" s="5" t="s">
        <v>6244</v>
      </c>
      <c r="X502" s="5" t="s">
        <v>6244</v>
      </c>
      <c r="Y502" s="4">
        <v>47</v>
      </c>
      <c r="Z502" s="4">
        <v>42</v>
      </c>
      <c r="AA502" s="4">
        <v>42</v>
      </c>
      <c r="AB502" s="4">
        <v>1</v>
      </c>
      <c r="AC502" s="4">
        <v>1</v>
      </c>
      <c r="AD502" s="4">
        <v>7</v>
      </c>
      <c r="AE502" s="4">
        <v>7</v>
      </c>
      <c r="AF502" s="4">
        <v>0</v>
      </c>
      <c r="AG502" s="4">
        <v>0</v>
      </c>
      <c r="AH502" s="4">
        <v>2</v>
      </c>
      <c r="AI502" s="4">
        <v>2</v>
      </c>
      <c r="AJ502" s="4">
        <v>7</v>
      </c>
      <c r="AK502" s="4">
        <v>7</v>
      </c>
      <c r="AL502" s="4">
        <v>0</v>
      </c>
      <c r="AM502" s="4">
        <v>0</v>
      </c>
      <c r="AN502" s="4">
        <v>0</v>
      </c>
      <c r="AO502" s="4">
        <v>0</v>
      </c>
      <c r="AP502" s="3" t="s">
        <v>58</v>
      </c>
      <c r="AQ502" s="3" t="s">
        <v>58</v>
      </c>
      <c r="AS502" s="6" t="str">
        <f>HYPERLINK("https://creighton-primo.hosted.exlibrisgroup.com/primo-explore/search?tab=default_tab&amp;search_scope=EVERYTHING&amp;vid=01CRU&amp;lang=en_US&amp;offset=0&amp;query=any,contains,991004672989702656","Catalog Record")</f>
        <v>Catalog Record</v>
      </c>
      <c r="AT502" s="6" t="str">
        <f>HYPERLINK("http://www.worldcat.org/oclc/4521549","WorldCat Record")</f>
        <v>WorldCat Record</v>
      </c>
      <c r="AU502" s="3" t="s">
        <v>6432</v>
      </c>
      <c r="AV502" s="3" t="s">
        <v>6433</v>
      </c>
      <c r="AW502" s="3" t="s">
        <v>6434</v>
      </c>
      <c r="AX502" s="3" t="s">
        <v>6434</v>
      </c>
      <c r="AY502" s="3" t="s">
        <v>6435</v>
      </c>
      <c r="AZ502" s="3" t="s">
        <v>75</v>
      </c>
      <c r="BC502" s="3" t="s">
        <v>6436</v>
      </c>
      <c r="BD502" s="3" t="s">
        <v>6437</v>
      </c>
    </row>
    <row r="503" spans="1:56" ht="39" customHeight="1" x14ac:dyDescent="0.25">
      <c r="A503" s="7" t="s">
        <v>58</v>
      </c>
      <c r="B503" s="2" t="s">
        <v>6438</v>
      </c>
      <c r="C503" s="2" t="s">
        <v>6439</v>
      </c>
      <c r="D503" s="2" t="s">
        <v>6440</v>
      </c>
      <c r="F503" s="3" t="s">
        <v>58</v>
      </c>
      <c r="G503" s="3" t="s">
        <v>59</v>
      </c>
      <c r="H503" s="3" t="s">
        <v>58</v>
      </c>
      <c r="I503" s="3" t="s">
        <v>58</v>
      </c>
      <c r="J503" s="3" t="s">
        <v>60</v>
      </c>
      <c r="K503" s="2" t="s">
        <v>3893</v>
      </c>
      <c r="L503" s="2" t="s">
        <v>6441</v>
      </c>
      <c r="M503" s="3" t="s">
        <v>273</v>
      </c>
      <c r="O503" s="3" t="s">
        <v>65</v>
      </c>
      <c r="P503" s="3" t="s">
        <v>113</v>
      </c>
      <c r="Q503" s="2" t="s">
        <v>6442</v>
      </c>
      <c r="R503" s="3" t="s">
        <v>68</v>
      </c>
      <c r="S503" s="4">
        <v>6</v>
      </c>
      <c r="T503" s="4">
        <v>6</v>
      </c>
      <c r="U503" s="5" t="s">
        <v>6431</v>
      </c>
      <c r="V503" s="5" t="s">
        <v>6431</v>
      </c>
      <c r="W503" s="5" t="s">
        <v>6443</v>
      </c>
      <c r="X503" s="5" t="s">
        <v>6443</v>
      </c>
      <c r="Y503" s="4">
        <v>75</v>
      </c>
      <c r="Z503" s="4">
        <v>75</v>
      </c>
      <c r="AA503" s="4">
        <v>75</v>
      </c>
      <c r="AB503" s="4">
        <v>1</v>
      </c>
      <c r="AC503" s="4">
        <v>1</v>
      </c>
      <c r="AD503" s="4">
        <v>13</v>
      </c>
      <c r="AE503" s="4">
        <v>13</v>
      </c>
      <c r="AF503" s="4">
        <v>2</v>
      </c>
      <c r="AG503" s="4">
        <v>2</v>
      </c>
      <c r="AH503" s="4">
        <v>5</v>
      </c>
      <c r="AI503" s="4">
        <v>5</v>
      </c>
      <c r="AJ503" s="4">
        <v>10</v>
      </c>
      <c r="AK503" s="4">
        <v>10</v>
      </c>
      <c r="AL503" s="4">
        <v>0</v>
      </c>
      <c r="AM503" s="4">
        <v>0</v>
      </c>
      <c r="AN503" s="4">
        <v>0</v>
      </c>
      <c r="AO503" s="4">
        <v>0</v>
      </c>
      <c r="AP503" s="3" t="s">
        <v>58</v>
      </c>
      <c r="AQ503" s="3" t="s">
        <v>58</v>
      </c>
      <c r="AS503" s="6" t="str">
        <f>HYPERLINK("https://creighton-primo.hosted.exlibrisgroup.com/primo-explore/search?tab=default_tab&amp;search_scope=EVERYTHING&amp;vid=01CRU&amp;lang=en_US&amp;offset=0&amp;query=any,contains,991002301399702656","Catalog Record")</f>
        <v>Catalog Record</v>
      </c>
      <c r="AT503" s="6" t="str">
        <f>HYPERLINK("http://www.worldcat.org/oclc/29850131","WorldCat Record")</f>
        <v>WorldCat Record</v>
      </c>
      <c r="AU503" s="3" t="s">
        <v>6444</v>
      </c>
      <c r="AV503" s="3" t="s">
        <v>6445</v>
      </c>
      <c r="AW503" s="3" t="s">
        <v>6446</v>
      </c>
      <c r="AX503" s="3" t="s">
        <v>6446</v>
      </c>
      <c r="AY503" s="3" t="s">
        <v>6447</v>
      </c>
      <c r="AZ503" s="3" t="s">
        <v>75</v>
      </c>
      <c r="BB503" s="3" t="s">
        <v>6448</v>
      </c>
      <c r="BC503" s="3" t="s">
        <v>6449</v>
      </c>
      <c r="BD503" s="3" t="s">
        <v>6450</v>
      </c>
    </row>
    <row r="504" spans="1:56" ht="39" customHeight="1" x14ac:dyDescent="0.25">
      <c r="A504" s="7" t="s">
        <v>58</v>
      </c>
      <c r="B504" s="2" t="s">
        <v>6451</v>
      </c>
      <c r="C504" s="2" t="s">
        <v>6452</v>
      </c>
      <c r="D504" s="2" t="s">
        <v>6453</v>
      </c>
      <c r="F504" s="3" t="s">
        <v>58</v>
      </c>
      <c r="G504" s="3" t="s">
        <v>59</v>
      </c>
      <c r="H504" s="3" t="s">
        <v>58</v>
      </c>
      <c r="I504" s="3" t="s">
        <v>58</v>
      </c>
      <c r="J504" s="3" t="s">
        <v>60</v>
      </c>
      <c r="L504" s="2" t="s">
        <v>6454</v>
      </c>
      <c r="M504" s="3" t="s">
        <v>374</v>
      </c>
      <c r="O504" s="3" t="s">
        <v>65</v>
      </c>
      <c r="P504" s="3" t="s">
        <v>186</v>
      </c>
      <c r="R504" s="3" t="s">
        <v>68</v>
      </c>
      <c r="S504" s="4">
        <v>5</v>
      </c>
      <c r="T504" s="4">
        <v>5</v>
      </c>
      <c r="U504" s="5" t="s">
        <v>2345</v>
      </c>
      <c r="V504" s="5" t="s">
        <v>2345</v>
      </c>
      <c r="W504" s="5" t="s">
        <v>6455</v>
      </c>
      <c r="X504" s="5" t="s">
        <v>6455</v>
      </c>
      <c r="Y504" s="4">
        <v>304</v>
      </c>
      <c r="Z504" s="4">
        <v>255</v>
      </c>
      <c r="AA504" s="4">
        <v>289</v>
      </c>
      <c r="AB504" s="4">
        <v>3</v>
      </c>
      <c r="AC504" s="4">
        <v>3</v>
      </c>
      <c r="AD504" s="4">
        <v>19</v>
      </c>
      <c r="AE504" s="4">
        <v>19</v>
      </c>
      <c r="AF504" s="4">
        <v>10</v>
      </c>
      <c r="AG504" s="4">
        <v>10</v>
      </c>
      <c r="AH504" s="4">
        <v>4</v>
      </c>
      <c r="AI504" s="4">
        <v>4</v>
      </c>
      <c r="AJ504" s="4">
        <v>11</v>
      </c>
      <c r="AK504" s="4">
        <v>11</v>
      </c>
      <c r="AL504" s="4">
        <v>2</v>
      </c>
      <c r="AM504" s="4">
        <v>2</v>
      </c>
      <c r="AN504" s="4">
        <v>0</v>
      </c>
      <c r="AO504" s="4">
        <v>0</v>
      </c>
      <c r="AP504" s="3" t="s">
        <v>58</v>
      </c>
      <c r="AQ504" s="3" t="s">
        <v>132</v>
      </c>
      <c r="AR504" s="6" t="str">
        <f>HYPERLINK("http://catalog.hathitrust.org/Record/002997497","HathiTrust Record")</f>
        <v>HathiTrust Record</v>
      </c>
      <c r="AS504" s="6" t="str">
        <f>HYPERLINK("https://creighton-primo.hosted.exlibrisgroup.com/primo-explore/search?tab=default_tab&amp;search_scope=EVERYTHING&amp;vid=01CRU&amp;lang=en_US&amp;offset=0&amp;query=any,contains,991002392799702656","Catalog Record")</f>
        <v>Catalog Record</v>
      </c>
      <c r="AT504" s="6" t="str">
        <f>HYPERLINK("http://www.worldcat.org/oclc/31075724","WorldCat Record")</f>
        <v>WorldCat Record</v>
      </c>
      <c r="AU504" s="3" t="s">
        <v>6456</v>
      </c>
      <c r="AV504" s="3" t="s">
        <v>6457</v>
      </c>
      <c r="AW504" s="3" t="s">
        <v>6458</v>
      </c>
      <c r="AX504" s="3" t="s">
        <v>6458</v>
      </c>
      <c r="AY504" s="3" t="s">
        <v>6459</v>
      </c>
      <c r="AZ504" s="3" t="s">
        <v>75</v>
      </c>
      <c r="BB504" s="3" t="s">
        <v>6460</v>
      </c>
      <c r="BC504" s="3" t="s">
        <v>6461</v>
      </c>
      <c r="BD504" s="3" t="s">
        <v>6462</v>
      </c>
    </row>
    <row r="505" spans="1:56" ht="39" customHeight="1" x14ac:dyDescent="0.25">
      <c r="A505" s="7" t="s">
        <v>58</v>
      </c>
      <c r="B505" s="2" t="s">
        <v>6463</v>
      </c>
      <c r="C505" s="2" t="s">
        <v>6464</v>
      </c>
      <c r="D505" s="2" t="s">
        <v>6465</v>
      </c>
      <c r="F505" s="3" t="s">
        <v>58</v>
      </c>
      <c r="G505" s="3" t="s">
        <v>59</v>
      </c>
      <c r="H505" s="3" t="s">
        <v>58</v>
      </c>
      <c r="I505" s="3" t="s">
        <v>58</v>
      </c>
      <c r="J505" s="3" t="s">
        <v>60</v>
      </c>
      <c r="K505" s="2" t="s">
        <v>6466</v>
      </c>
      <c r="L505" s="2" t="s">
        <v>6467</v>
      </c>
      <c r="M505" s="3" t="s">
        <v>1261</v>
      </c>
      <c r="O505" s="3" t="s">
        <v>65</v>
      </c>
      <c r="P505" s="3" t="s">
        <v>3503</v>
      </c>
      <c r="R505" s="3" t="s">
        <v>68</v>
      </c>
      <c r="S505" s="4">
        <v>5</v>
      </c>
      <c r="T505" s="4">
        <v>5</v>
      </c>
      <c r="U505" s="5" t="s">
        <v>6468</v>
      </c>
      <c r="V505" s="5" t="s">
        <v>6468</v>
      </c>
      <c r="W505" s="5" t="s">
        <v>6469</v>
      </c>
      <c r="X505" s="5" t="s">
        <v>6469</v>
      </c>
      <c r="Y505" s="4">
        <v>154</v>
      </c>
      <c r="Z505" s="4">
        <v>131</v>
      </c>
      <c r="AA505" s="4">
        <v>144</v>
      </c>
      <c r="AB505" s="4">
        <v>2</v>
      </c>
      <c r="AC505" s="4">
        <v>2</v>
      </c>
      <c r="AD505" s="4">
        <v>5</v>
      </c>
      <c r="AE505" s="4">
        <v>7</v>
      </c>
      <c r="AF505" s="4">
        <v>1</v>
      </c>
      <c r="AG505" s="4">
        <v>2</v>
      </c>
      <c r="AH505" s="4">
        <v>0</v>
      </c>
      <c r="AI505" s="4">
        <v>0</v>
      </c>
      <c r="AJ505" s="4">
        <v>4</v>
      </c>
      <c r="AK505" s="4">
        <v>5</v>
      </c>
      <c r="AL505" s="4">
        <v>1</v>
      </c>
      <c r="AM505" s="4">
        <v>1</v>
      </c>
      <c r="AN505" s="4">
        <v>0</v>
      </c>
      <c r="AO505" s="4">
        <v>0</v>
      </c>
      <c r="AP505" s="3" t="s">
        <v>58</v>
      </c>
      <c r="AQ505" s="3" t="s">
        <v>58</v>
      </c>
      <c r="AS505" s="6" t="str">
        <f>HYPERLINK("https://creighton-primo.hosted.exlibrisgroup.com/primo-explore/search?tab=default_tab&amp;search_scope=EVERYTHING&amp;vid=01CRU&amp;lang=en_US&amp;offset=0&amp;query=any,contains,991001893169702656","Catalog Record")</f>
        <v>Catalog Record</v>
      </c>
      <c r="AT505" s="6" t="str">
        <f>HYPERLINK("http://www.worldcat.org/oclc/23901888","WorldCat Record")</f>
        <v>WorldCat Record</v>
      </c>
      <c r="AU505" s="3" t="s">
        <v>6470</v>
      </c>
      <c r="AV505" s="3" t="s">
        <v>6471</v>
      </c>
      <c r="AW505" s="3" t="s">
        <v>6472</v>
      </c>
      <c r="AX505" s="3" t="s">
        <v>6472</v>
      </c>
      <c r="AY505" s="3" t="s">
        <v>6473</v>
      </c>
      <c r="AZ505" s="3" t="s">
        <v>75</v>
      </c>
      <c r="BC505" s="3" t="s">
        <v>6474</v>
      </c>
      <c r="BD505" s="3" t="s">
        <v>6475</v>
      </c>
    </row>
    <row r="506" spans="1:56" ht="39" customHeight="1" x14ac:dyDescent="0.25">
      <c r="A506" s="7" t="s">
        <v>58</v>
      </c>
      <c r="B506" s="2" t="s">
        <v>6476</v>
      </c>
      <c r="C506" s="2" t="s">
        <v>6477</v>
      </c>
      <c r="D506" s="2" t="s">
        <v>6478</v>
      </c>
      <c r="F506" s="3" t="s">
        <v>58</v>
      </c>
      <c r="G506" s="3" t="s">
        <v>59</v>
      </c>
      <c r="H506" s="3" t="s">
        <v>58</v>
      </c>
      <c r="I506" s="3" t="s">
        <v>58</v>
      </c>
      <c r="J506" s="3" t="s">
        <v>60</v>
      </c>
      <c r="K506" s="2" t="s">
        <v>6479</v>
      </c>
      <c r="L506" s="2" t="s">
        <v>6480</v>
      </c>
      <c r="M506" s="3" t="s">
        <v>112</v>
      </c>
      <c r="O506" s="3" t="s">
        <v>65</v>
      </c>
      <c r="P506" s="3" t="s">
        <v>2664</v>
      </c>
      <c r="Q506" s="2" t="s">
        <v>6481</v>
      </c>
      <c r="R506" s="3" t="s">
        <v>68</v>
      </c>
      <c r="S506" s="4">
        <v>2</v>
      </c>
      <c r="T506" s="4">
        <v>2</v>
      </c>
      <c r="U506" s="5" t="s">
        <v>6482</v>
      </c>
      <c r="V506" s="5" t="s">
        <v>6482</v>
      </c>
      <c r="W506" s="5" t="s">
        <v>6482</v>
      </c>
      <c r="X506" s="5" t="s">
        <v>6482</v>
      </c>
      <c r="Y506" s="4">
        <v>150</v>
      </c>
      <c r="Z506" s="4">
        <v>134</v>
      </c>
      <c r="AA506" s="4">
        <v>146</v>
      </c>
      <c r="AB506" s="4">
        <v>3</v>
      </c>
      <c r="AC506" s="4">
        <v>4</v>
      </c>
      <c r="AD506" s="4">
        <v>4</v>
      </c>
      <c r="AE506" s="4">
        <v>6</v>
      </c>
      <c r="AF506" s="4">
        <v>3</v>
      </c>
      <c r="AG506" s="4">
        <v>4</v>
      </c>
      <c r="AH506" s="4">
        <v>0</v>
      </c>
      <c r="AI506" s="4">
        <v>1</v>
      </c>
      <c r="AJ506" s="4">
        <v>1</v>
      </c>
      <c r="AK506" s="4">
        <v>1</v>
      </c>
      <c r="AL506" s="4">
        <v>1</v>
      </c>
      <c r="AM506" s="4">
        <v>2</v>
      </c>
      <c r="AN506" s="4">
        <v>0</v>
      </c>
      <c r="AO506" s="4">
        <v>0</v>
      </c>
      <c r="AP506" s="3" t="s">
        <v>58</v>
      </c>
      <c r="AQ506" s="3" t="s">
        <v>58</v>
      </c>
      <c r="AS506" s="6" t="str">
        <f>HYPERLINK("https://creighton-primo.hosted.exlibrisgroup.com/primo-explore/search?tab=default_tab&amp;search_scope=EVERYTHING&amp;vid=01CRU&amp;lang=en_US&amp;offset=0&amp;query=any,contains,991004794989702656","Catalog Record")</f>
        <v>Catalog Record</v>
      </c>
      <c r="AT506" s="6" t="str">
        <f>HYPERLINK("http://www.worldcat.org/oclc/26096335","WorldCat Record")</f>
        <v>WorldCat Record</v>
      </c>
      <c r="AU506" s="3" t="s">
        <v>6483</v>
      </c>
      <c r="AV506" s="3" t="s">
        <v>6484</v>
      </c>
      <c r="AW506" s="3" t="s">
        <v>6485</v>
      </c>
      <c r="AX506" s="3" t="s">
        <v>6485</v>
      </c>
      <c r="AY506" s="3" t="s">
        <v>6486</v>
      </c>
      <c r="AZ506" s="3" t="s">
        <v>75</v>
      </c>
      <c r="BB506" s="3" t="s">
        <v>6487</v>
      </c>
      <c r="BC506" s="3" t="s">
        <v>6488</v>
      </c>
      <c r="BD506" s="3" t="s">
        <v>6489</v>
      </c>
    </row>
    <row r="507" spans="1:56" ht="39" customHeight="1" x14ac:dyDescent="0.25">
      <c r="A507" s="7" t="s">
        <v>58</v>
      </c>
      <c r="B507" s="2" t="s">
        <v>6490</v>
      </c>
      <c r="C507" s="2" t="s">
        <v>6491</v>
      </c>
      <c r="D507" s="2" t="s">
        <v>6492</v>
      </c>
      <c r="F507" s="3" t="s">
        <v>58</v>
      </c>
      <c r="G507" s="3" t="s">
        <v>59</v>
      </c>
      <c r="H507" s="3" t="s">
        <v>58</v>
      </c>
      <c r="I507" s="3" t="s">
        <v>58</v>
      </c>
      <c r="J507" s="3" t="s">
        <v>60</v>
      </c>
      <c r="L507" s="2" t="s">
        <v>6493</v>
      </c>
      <c r="M507" s="3" t="s">
        <v>215</v>
      </c>
      <c r="N507" s="2" t="s">
        <v>476</v>
      </c>
      <c r="O507" s="3" t="s">
        <v>65</v>
      </c>
      <c r="P507" s="3" t="s">
        <v>477</v>
      </c>
      <c r="R507" s="3" t="s">
        <v>68</v>
      </c>
      <c r="S507" s="4">
        <v>5</v>
      </c>
      <c r="T507" s="4">
        <v>5</v>
      </c>
      <c r="U507" s="5" t="s">
        <v>6494</v>
      </c>
      <c r="V507" s="5" t="s">
        <v>6494</v>
      </c>
      <c r="W507" s="5" t="s">
        <v>6244</v>
      </c>
      <c r="X507" s="5" t="s">
        <v>6244</v>
      </c>
      <c r="Y507" s="4">
        <v>328</v>
      </c>
      <c r="Z507" s="4">
        <v>291</v>
      </c>
      <c r="AA507" s="4">
        <v>358</v>
      </c>
      <c r="AB507" s="4">
        <v>4</v>
      </c>
      <c r="AC507" s="4">
        <v>5</v>
      </c>
      <c r="AD507" s="4">
        <v>11</v>
      </c>
      <c r="AE507" s="4">
        <v>17</v>
      </c>
      <c r="AF507" s="4">
        <v>4</v>
      </c>
      <c r="AG507" s="4">
        <v>6</v>
      </c>
      <c r="AH507" s="4">
        <v>1</v>
      </c>
      <c r="AI507" s="4">
        <v>3</v>
      </c>
      <c r="AJ507" s="4">
        <v>7</v>
      </c>
      <c r="AK507" s="4">
        <v>9</v>
      </c>
      <c r="AL507" s="4">
        <v>3</v>
      </c>
      <c r="AM507" s="4">
        <v>4</v>
      </c>
      <c r="AN507" s="4">
        <v>0</v>
      </c>
      <c r="AO507" s="4">
        <v>0</v>
      </c>
      <c r="AP507" s="3" t="s">
        <v>58</v>
      </c>
      <c r="AQ507" s="3" t="s">
        <v>132</v>
      </c>
      <c r="AR507" s="6" t="str">
        <f>HYPERLINK("http://catalog.hathitrust.org/Record/006019324","HathiTrust Record")</f>
        <v>HathiTrust Record</v>
      </c>
      <c r="AS507" s="6" t="str">
        <f>HYPERLINK("https://creighton-primo.hosted.exlibrisgroup.com/primo-explore/search?tab=default_tab&amp;search_scope=EVERYTHING&amp;vid=01CRU&amp;lang=en_US&amp;offset=0&amp;query=any,contains,991000967249702656","Catalog Record")</f>
        <v>Catalog Record</v>
      </c>
      <c r="AT507" s="6" t="str">
        <f>HYPERLINK("http://www.worldcat.org/oclc/14931005","WorldCat Record")</f>
        <v>WorldCat Record</v>
      </c>
      <c r="AU507" s="3" t="s">
        <v>6495</v>
      </c>
      <c r="AV507" s="3" t="s">
        <v>6496</v>
      </c>
      <c r="AW507" s="3" t="s">
        <v>6497</v>
      </c>
      <c r="AX507" s="3" t="s">
        <v>6497</v>
      </c>
      <c r="AY507" s="3" t="s">
        <v>6498</v>
      </c>
      <c r="AZ507" s="3" t="s">
        <v>75</v>
      </c>
      <c r="BB507" s="3" t="s">
        <v>6499</v>
      </c>
      <c r="BC507" s="3" t="s">
        <v>6500</v>
      </c>
      <c r="BD507" s="3" t="s">
        <v>6501</v>
      </c>
    </row>
    <row r="508" spans="1:56" ht="39" customHeight="1" x14ac:dyDescent="0.25">
      <c r="A508" s="7" t="s">
        <v>58</v>
      </c>
      <c r="B508" s="2" t="s">
        <v>6502</v>
      </c>
      <c r="C508" s="2" t="s">
        <v>6503</v>
      </c>
      <c r="D508" s="2" t="s">
        <v>6504</v>
      </c>
      <c r="F508" s="3" t="s">
        <v>58</v>
      </c>
      <c r="G508" s="3" t="s">
        <v>59</v>
      </c>
      <c r="H508" s="3" t="s">
        <v>58</v>
      </c>
      <c r="I508" s="3" t="s">
        <v>58</v>
      </c>
      <c r="J508" s="3" t="s">
        <v>60</v>
      </c>
      <c r="L508" s="2" t="s">
        <v>6505</v>
      </c>
      <c r="M508" s="3" t="s">
        <v>1723</v>
      </c>
      <c r="O508" s="3" t="s">
        <v>65</v>
      </c>
      <c r="P508" s="3" t="s">
        <v>158</v>
      </c>
      <c r="R508" s="3" t="s">
        <v>68</v>
      </c>
      <c r="S508" s="4">
        <v>4</v>
      </c>
      <c r="T508" s="4">
        <v>4</v>
      </c>
      <c r="U508" s="5" t="s">
        <v>6506</v>
      </c>
      <c r="V508" s="5" t="s">
        <v>6506</v>
      </c>
      <c r="W508" s="5" t="s">
        <v>6507</v>
      </c>
      <c r="X508" s="5" t="s">
        <v>6507</v>
      </c>
      <c r="Y508" s="4">
        <v>299</v>
      </c>
      <c r="Z508" s="4">
        <v>249</v>
      </c>
      <c r="AA508" s="4">
        <v>267</v>
      </c>
      <c r="AB508" s="4">
        <v>3</v>
      </c>
      <c r="AC508" s="4">
        <v>3</v>
      </c>
      <c r="AD508" s="4">
        <v>10</v>
      </c>
      <c r="AE508" s="4">
        <v>10</v>
      </c>
      <c r="AF508" s="4">
        <v>6</v>
      </c>
      <c r="AG508" s="4">
        <v>6</v>
      </c>
      <c r="AH508" s="4">
        <v>0</v>
      </c>
      <c r="AI508" s="4">
        <v>0</v>
      </c>
      <c r="AJ508" s="4">
        <v>3</v>
      </c>
      <c r="AK508" s="4">
        <v>3</v>
      </c>
      <c r="AL508" s="4">
        <v>2</v>
      </c>
      <c r="AM508" s="4">
        <v>2</v>
      </c>
      <c r="AN508" s="4">
        <v>0</v>
      </c>
      <c r="AO508" s="4">
        <v>0</v>
      </c>
      <c r="AP508" s="3" t="s">
        <v>58</v>
      </c>
      <c r="AQ508" s="3" t="s">
        <v>58</v>
      </c>
      <c r="AS508" s="6" t="str">
        <f>HYPERLINK("https://creighton-primo.hosted.exlibrisgroup.com/primo-explore/search?tab=default_tab&amp;search_scope=EVERYTHING&amp;vid=01CRU&amp;lang=en_US&amp;offset=0&amp;query=any,contains,991003577029702656","Catalog Record")</f>
        <v>Catalog Record</v>
      </c>
      <c r="AT508" s="6" t="str">
        <f>HYPERLINK("http://www.worldcat.org/oclc/44885141","WorldCat Record")</f>
        <v>WorldCat Record</v>
      </c>
      <c r="AU508" s="3" t="s">
        <v>6508</v>
      </c>
      <c r="AV508" s="3" t="s">
        <v>6509</v>
      </c>
      <c r="AW508" s="3" t="s">
        <v>6510</v>
      </c>
      <c r="AX508" s="3" t="s">
        <v>6510</v>
      </c>
      <c r="AY508" s="3" t="s">
        <v>6511</v>
      </c>
      <c r="AZ508" s="3" t="s">
        <v>75</v>
      </c>
      <c r="BB508" s="3" t="s">
        <v>6512</v>
      </c>
      <c r="BC508" s="3" t="s">
        <v>6513</v>
      </c>
      <c r="BD508" s="3" t="s">
        <v>6514</v>
      </c>
    </row>
    <row r="509" spans="1:56" ht="39" customHeight="1" x14ac:dyDescent="0.25">
      <c r="A509" s="7" t="s">
        <v>58</v>
      </c>
      <c r="B509" s="2" t="s">
        <v>6515</v>
      </c>
      <c r="C509" s="2" t="s">
        <v>6516</v>
      </c>
      <c r="D509" s="2" t="s">
        <v>6517</v>
      </c>
      <c r="F509" s="3" t="s">
        <v>58</v>
      </c>
      <c r="G509" s="3" t="s">
        <v>59</v>
      </c>
      <c r="H509" s="3" t="s">
        <v>58</v>
      </c>
      <c r="I509" s="3" t="s">
        <v>58</v>
      </c>
      <c r="J509" s="3" t="s">
        <v>60</v>
      </c>
      <c r="K509" s="2" t="s">
        <v>6518</v>
      </c>
      <c r="L509" s="2" t="s">
        <v>6519</v>
      </c>
      <c r="M509" s="3" t="s">
        <v>3656</v>
      </c>
      <c r="O509" s="3" t="s">
        <v>65</v>
      </c>
      <c r="P509" s="3" t="s">
        <v>274</v>
      </c>
      <c r="R509" s="3" t="s">
        <v>68</v>
      </c>
      <c r="S509" s="4">
        <v>2</v>
      </c>
      <c r="T509" s="4">
        <v>2</v>
      </c>
      <c r="U509" s="5" t="s">
        <v>6520</v>
      </c>
      <c r="V509" s="5" t="s">
        <v>6520</v>
      </c>
      <c r="W509" s="5" t="s">
        <v>6521</v>
      </c>
      <c r="X509" s="5" t="s">
        <v>6521</v>
      </c>
      <c r="Y509" s="4">
        <v>251</v>
      </c>
      <c r="Z509" s="4">
        <v>222</v>
      </c>
      <c r="AA509" s="4">
        <v>251</v>
      </c>
      <c r="AB509" s="4">
        <v>3</v>
      </c>
      <c r="AC509" s="4">
        <v>3</v>
      </c>
      <c r="AD509" s="4">
        <v>19</v>
      </c>
      <c r="AE509" s="4">
        <v>19</v>
      </c>
      <c r="AF509" s="4">
        <v>8</v>
      </c>
      <c r="AG509" s="4">
        <v>8</v>
      </c>
      <c r="AH509" s="4">
        <v>3</v>
      </c>
      <c r="AI509" s="4">
        <v>3</v>
      </c>
      <c r="AJ509" s="4">
        <v>10</v>
      </c>
      <c r="AK509" s="4">
        <v>10</v>
      </c>
      <c r="AL509" s="4">
        <v>2</v>
      </c>
      <c r="AM509" s="4">
        <v>2</v>
      </c>
      <c r="AN509" s="4">
        <v>0</v>
      </c>
      <c r="AO509" s="4">
        <v>0</v>
      </c>
      <c r="AP509" s="3" t="s">
        <v>58</v>
      </c>
      <c r="AQ509" s="3" t="s">
        <v>58</v>
      </c>
      <c r="AS509" s="6" t="str">
        <f>HYPERLINK("https://creighton-primo.hosted.exlibrisgroup.com/primo-explore/search?tab=default_tab&amp;search_scope=EVERYTHING&amp;vid=01CRU&amp;lang=en_US&amp;offset=0&amp;query=any,contains,991002724349702656","Catalog Record")</f>
        <v>Catalog Record</v>
      </c>
      <c r="AT509" s="6" t="str">
        <f>HYPERLINK("http://www.worldcat.org/oclc/35723631","WorldCat Record")</f>
        <v>WorldCat Record</v>
      </c>
      <c r="AU509" s="3" t="s">
        <v>6522</v>
      </c>
      <c r="AV509" s="3" t="s">
        <v>6523</v>
      </c>
      <c r="AW509" s="3" t="s">
        <v>6524</v>
      </c>
      <c r="AX509" s="3" t="s">
        <v>6524</v>
      </c>
      <c r="AY509" s="3" t="s">
        <v>6525</v>
      </c>
      <c r="AZ509" s="3" t="s">
        <v>75</v>
      </c>
      <c r="BB509" s="3" t="s">
        <v>6526</v>
      </c>
      <c r="BC509" s="3" t="s">
        <v>6527</v>
      </c>
      <c r="BD509" s="3" t="s">
        <v>6528</v>
      </c>
    </row>
    <row r="510" spans="1:56" ht="39" customHeight="1" x14ac:dyDescent="0.25">
      <c r="A510" s="7" t="s">
        <v>58</v>
      </c>
      <c r="B510" s="2" t="s">
        <v>6529</v>
      </c>
      <c r="C510" s="2" t="s">
        <v>6530</v>
      </c>
      <c r="D510" s="2" t="s">
        <v>6531</v>
      </c>
      <c r="F510" s="3" t="s">
        <v>58</v>
      </c>
      <c r="G510" s="3" t="s">
        <v>59</v>
      </c>
      <c r="H510" s="3" t="s">
        <v>58</v>
      </c>
      <c r="I510" s="3" t="s">
        <v>58</v>
      </c>
      <c r="J510" s="3" t="s">
        <v>60</v>
      </c>
      <c r="K510" s="2" t="s">
        <v>6532</v>
      </c>
      <c r="L510" s="2" t="s">
        <v>6533</v>
      </c>
      <c r="M510" s="3" t="s">
        <v>427</v>
      </c>
      <c r="O510" s="3" t="s">
        <v>65</v>
      </c>
      <c r="P510" s="3" t="s">
        <v>346</v>
      </c>
      <c r="Q510" s="2" t="s">
        <v>6534</v>
      </c>
      <c r="R510" s="3" t="s">
        <v>68</v>
      </c>
      <c r="S510" s="4">
        <v>5</v>
      </c>
      <c r="T510" s="4">
        <v>5</v>
      </c>
      <c r="U510" s="5" t="s">
        <v>6535</v>
      </c>
      <c r="V510" s="5" t="s">
        <v>6535</v>
      </c>
      <c r="W510" s="5" t="s">
        <v>6244</v>
      </c>
      <c r="X510" s="5" t="s">
        <v>6244</v>
      </c>
      <c r="Y510" s="4">
        <v>264</v>
      </c>
      <c r="Z510" s="4">
        <v>228</v>
      </c>
      <c r="AA510" s="4">
        <v>228</v>
      </c>
      <c r="AB510" s="4">
        <v>4</v>
      </c>
      <c r="AC510" s="4">
        <v>4</v>
      </c>
      <c r="AD510" s="4">
        <v>8</v>
      </c>
      <c r="AE510" s="4">
        <v>8</v>
      </c>
      <c r="AF510" s="4">
        <v>4</v>
      </c>
      <c r="AG510" s="4">
        <v>4</v>
      </c>
      <c r="AH510" s="4">
        <v>0</v>
      </c>
      <c r="AI510" s="4">
        <v>0</v>
      </c>
      <c r="AJ510" s="4">
        <v>2</v>
      </c>
      <c r="AK510" s="4">
        <v>2</v>
      </c>
      <c r="AL510" s="4">
        <v>2</v>
      </c>
      <c r="AM510" s="4">
        <v>2</v>
      </c>
      <c r="AN510" s="4">
        <v>0</v>
      </c>
      <c r="AO510" s="4">
        <v>0</v>
      </c>
      <c r="AP510" s="3" t="s">
        <v>58</v>
      </c>
      <c r="AQ510" s="3" t="s">
        <v>58</v>
      </c>
      <c r="AS510" s="6" t="str">
        <f>HYPERLINK("https://creighton-primo.hosted.exlibrisgroup.com/primo-explore/search?tab=default_tab&amp;search_scope=EVERYTHING&amp;vid=01CRU&amp;lang=en_US&amp;offset=0&amp;query=any,contains,991004737049702656","Catalog Record")</f>
        <v>Catalog Record</v>
      </c>
      <c r="AT510" s="6" t="str">
        <f>HYPERLINK("http://www.worldcat.org/oclc/4858036","WorldCat Record")</f>
        <v>WorldCat Record</v>
      </c>
      <c r="AU510" s="3" t="s">
        <v>6536</v>
      </c>
      <c r="AV510" s="3" t="s">
        <v>6537</v>
      </c>
      <c r="AW510" s="3" t="s">
        <v>6538</v>
      </c>
      <c r="AX510" s="3" t="s">
        <v>6538</v>
      </c>
      <c r="AY510" s="3" t="s">
        <v>6539</v>
      </c>
      <c r="AZ510" s="3" t="s">
        <v>75</v>
      </c>
      <c r="BB510" s="3" t="s">
        <v>6540</v>
      </c>
      <c r="BC510" s="3" t="s">
        <v>6541</v>
      </c>
      <c r="BD510" s="3" t="s">
        <v>6542</v>
      </c>
    </row>
    <row r="511" spans="1:56" ht="39" customHeight="1" x14ac:dyDescent="0.25">
      <c r="A511" s="7" t="s">
        <v>58</v>
      </c>
      <c r="B511" s="2" t="s">
        <v>6543</v>
      </c>
      <c r="C511" s="2" t="s">
        <v>6544</v>
      </c>
      <c r="D511" s="2" t="s">
        <v>6545</v>
      </c>
      <c r="F511" s="3" t="s">
        <v>58</v>
      </c>
      <c r="G511" s="3" t="s">
        <v>59</v>
      </c>
      <c r="H511" s="3" t="s">
        <v>58</v>
      </c>
      <c r="I511" s="3" t="s">
        <v>58</v>
      </c>
      <c r="J511" s="3" t="s">
        <v>60</v>
      </c>
      <c r="K511" s="2" t="s">
        <v>6546</v>
      </c>
      <c r="L511" s="2" t="s">
        <v>6547</v>
      </c>
      <c r="M511" s="3" t="s">
        <v>871</v>
      </c>
      <c r="O511" s="3" t="s">
        <v>65</v>
      </c>
      <c r="P511" s="3" t="s">
        <v>954</v>
      </c>
      <c r="R511" s="3" t="s">
        <v>68</v>
      </c>
      <c r="S511" s="4">
        <v>3</v>
      </c>
      <c r="T511" s="4">
        <v>3</v>
      </c>
      <c r="U511" s="5" t="s">
        <v>6548</v>
      </c>
      <c r="V511" s="5" t="s">
        <v>6548</v>
      </c>
      <c r="W511" s="5" t="s">
        <v>3869</v>
      </c>
      <c r="X511" s="5" t="s">
        <v>3869</v>
      </c>
      <c r="Y511" s="4">
        <v>422</v>
      </c>
      <c r="Z511" s="4">
        <v>386</v>
      </c>
      <c r="AA511" s="4">
        <v>686</v>
      </c>
      <c r="AB511" s="4">
        <v>4</v>
      </c>
      <c r="AC511" s="4">
        <v>6</v>
      </c>
      <c r="AD511" s="4">
        <v>14</v>
      </c>
      <c r="AE511" s="4">
        <v>22</v>
      </c>
      <c r="AF511" s="4">
        <v>5</v>
      </c>
      <c r="AG511" s="4">
        <v>6</v>
      </c>
      <c r="AH511" s="4">
        <v>2</v>
      </c>
      <c r="AI511" s="4">
        <v>5</v>
      </c>
      <c r="AJ511" s="4">
        <v>7</v>
      </c>
      <c r="AK511" s="4">
        <v>12</v>
      </c>
      <c r="AL511" s="4">
        <v>2</v>
      </c>
      <c r="AM511" s="4">
        <v>3</v>
      </c>
      <c r="AN511" s="4">
        <v>0</v>
      </c>
      <c r="AO511" s="4">
        <v>0</v>
      </c>
      <c r="AP511" s="3" t="s">
        <v>58</v>
      </c>
      <c r="AQ511" s="3" t="s">
        <v>132</v>
      </c>
      <c r="AR511" s="6" t="str">
        <f>HYPERLINK("http://catalog.hathitrust.org/Record/001414706","HathiTrust Record")</f>
        <v>HathiTrust Record</v>
      </c>
      <c r="AS511" s="6" t="str">
        <f>HYPERLINK("https://creighton-primo.hosted.exlibrisgroup.com/primo-explore/search?tab=default_tab&amp;search_scope=EVERYTHING&amp;vid=01CRU&amp;lang=en_US&amp;offset=0&amp;query=any,contains,991003449309702656","Catalog Record")</f>
        <v>Catalog Record</v>
      </c>
      <c r="AT511" s="6" t="str">
        <f>HYPERLINK("http://www.worldcat.org/oclc/985437","WorldCat Record")</f>
        <v>WorldCat Record</v>
      </c>
      <c r="AU511" s="3" t="s">
        <v>6549</v>
      </c>
      <c r="AV511" s="3" t="s">
        <v>6550</v>
      </c>
      <c r="AW511" s="3" t="s">
        <v>6551</v>
      </c>
      <c r="AX511" s="3" t="s">
        <v>6551</v>
      </c>
      <c r="AY511" s="3" t="s">
        <v>6552</v>
      </c>
      <c r="AZ511" s="3" t="s">
        <v>75</v>
      </c>
      <c r="BC511" s="3" t="s">
        <v>6553</v>
      </c>
      <c r="BD511" s="3" t="s">
        <v>6554</v>
      </c>
    </row>
    <row r="512" spans="1:56" ht="39" customHeight="1" x14ac:dyDescent="0.25">
      <c r="A512" s="7" t="s">
        <v>58</v>
      </c>
      <c r="B512" s="2" t="s">
        <v>6555</v>
      </c>
      <c r="C512" s="2" t="s">
        <v>6556</v>
      </c>
      <c r="D512" s="2" t="s">
        <v>6557</v>
      </c>
      <c r="F512" s="3" t="s">
        <v>58</v>
      </c>
      <c r="G512" s="3" t="s">
        <v>59</v>
      </c>
      <c r="H512" s="3" t="s">
        <v>58</v>
      </c>
      <c r="I512" s="3" t="s">
        <v>58</v>
      </c>
      <c r="J512" s="3" t="s">
        <v>60</v>
      </c>
      <c r="L512" s="2" t="s">
        <v>6558</v>
      </c>
      <c r="M512" s="3" t="s">
        <v>112</v>
      </c>
      <c r="O512" s="3" t="s">
        <v>65</v>
      </c>
      <c r="P512" s="3" t="s">
        <v>113</v>
      </c>
      <c r="Q512" s="2" t="s">
        <v>6559</v>
      </c>
      <c r="R512" s="3" t="s">
        <v>68</v>
      </c>
      <c r="S512" s="4">
        <v>2</v>
      </c>
      <c r="T512" s="4">
        <v>2</v>
      </c>
      <c r="U512" s="5" t="s">
        <v>6560</v>
      </c>
      <c r="V512" s="5" t="s">
        <v>6560</v>
      </c>
      <c r="W512" s="5" t="s">
        <v>6561</v>
      </c>
      <c r="X512" s="5" t="s">
        <v>6561</v>
      </c>
      <c r="Y512" s="4">
        <v>53</v>
      </c>
      <c r="Z512" s="4">
        <v>52</v>
      </c>
      <c r="AA512" s="4">
        <v>52</v>
      </c>
      <c r="AB512" s="4">
        <v>1</v>
      </c>
      <c r="AC512" s="4">
        <v>1</v>
      </c>
      <c r="AD512" s="4">
        <v>9</v>
      </c>
      <c r="AE512" s="4">
        <v>9</v>
      </c>
      <c r="AF512" s="4">
        <v>3</v>
      </c>
      <c r="AG512" s="4">
        <v>3</v>
      </c>
      <c r="AH512" s="4">
        <v>4</v>
      </c>
      <c r="AI512" s="4">
        <v>4</v>
      </c>
      <c r="AJ512" s="4">
        <v>6</v>
      </c>
      <c r="AK512" s="4">
        <v>6</v>
      </c>
      <c r="AL512" s="4">
        <v>0</v>
      </c>
      <c r="AM512" s="4">
        <v>0</v>
      </c>
      <c r="AN512" s="4">
        <v>0</v>
      </c>
      <c r="AO512" s="4">
        <v>0</v>
      </c>
      <c r="AP512" s="3" t="s">
        <v>58</v>
      </c>
      <c r="AQ512" s="3" t="s">
        <v>58</v>
      </c>
      <c r="AS512" s="6" t="str">
        <f>HYPERLINK("https://creighton-primo.hosted.exlibrisgroup.com/primo-explore/search?tab=default_tab&amp;search_scope=EVERYTHING&amp;vid=01CRU&amp;lang=en_US&amp;offset=0&amp;query=any,contains,991002043329702656","Catalog Record")</f>
        <v>Catalog Record</v>
      </c>
      <c r="AT512" s="6" t="str">
        <f>HYPERLINK("http://www.worldcat.org/oclc/26082248","WorldCat Record")</f>
        <v>WorldCat Record</v>
      </c>
      <c r="AU512" s="3" t="s">
        <v>6562</v>
      </c>
      <c r="AV512" s="3" t="s">
        <v>6563</v>
      </c>
      <c r="AW512" s="3" t="s">
        <v>6564</v>
      </c>
      <c r="AX512" s="3" t="s">
        <v>6564</v>
      </c>
      <c r="AY512" s="3" t="s">
        <v>6565</v>
      </c>
      <c r="AZ512" s="3" t="s">
        <v>75</v>
      </c>
      <c r="BB512" s="3" t="s">
        <v>6566</v>
      </c>
      <c r="BC512" s="3" t="s">
        <v>6567</v>
      </c>
      <c r="BD512" s="3" t="s">
        <v>6568</v>
      </c>
    </row>
    <row r="513" spans="1:56" ht="39" customHeight="1" x14ac:dyDescent="0.25">
      <c r="A513" s="7" t="s">
        <v>58</v>
      </c>
      <c r="B513" s="2" t="s">
        <v>6569</v>
      </c>
      <c r="C513" s="2" t="s">
        <v>6570</v>
      </c>
      <c r="D513" s="2" t="s">
        <v>6571</v>
      </c>
      <c r="F513" s="3" t="s">
        <v>58</v>
      </c>
      <c r="G513" s="3" t="s">
        <v>59</v>
      </c>
      <c r="H513" s="3" t="s">
        <v>58</v>
      </c>
      <c r="I513" s="3" t="s">
        <v>58</v>
      </c>
      <c r="J513" s="3" t="s">
        <v>60</v>
      </c>
      <c r="K513" s="2" t="s">
        <v>6572</v>
      </c>
      <c r="L513" s="2" t="s">
        <v>6573</v>
      </c>
      <c r="M513" s="3" t="s">
        <v>544</v>
      </c>
      <c r="N513" s="2" t="s">
        <v>6574</v>
      </c>
      <c r="O513" s="3" t="s">
        <v>65</v>
      </c>
      <c r="P513" s="3" t="s">
        <v>66</v>
      </c>
      <c r="Q513" s="2" t="s">
        <v>6575</v>
      </c>
      <c r="R513" s="3" t="s">
        <v>68</v>
      </c>
      <c r="S513" s="4">
        <v>2</v>
      </c>
      <c r="T513" s="4">
        <v>2</v>
      </c>
      <c r="U513" s="5" t="s">
        <v>6576</v>
      </c>
      <c r="V513" s="5" t="s">
        <v>6576</v>
      </c>
      <c r="W513" s="5" t="s">
        <v>6577</v>
      </c>
      <c r="X513" s="5" t="s">
        <v>6577</v>
      </c>
      <c r="Y513" s="4">
        <v>41</v>
      </c>
      <c r="Z513" s="4">
        <v>17</v>
      </c>
      <c r="AA513" s="4">
        <v>88</v>
      </c>
      <c r="AB513" s="4">
        <v>1</v>
      </c>
      <c r="AC513" s="4">
        <v>2</v>
      </c>
      <c r="AD513" s="4">
        <v>1</v>
      </c>
      <c r="AE513" s="4">
        <v>6</v>
      </c>
      <c r="AF513" s="4">
        <v>1</v>
      </c>
      <c r="AG513" s="4">
        <v>3</v>
      </c>
      <c r="AH513" s="4">
        <v>0</v>
      </c>
      <c r="AI513" s="4">
        <v>0</v>
      </c>
      <c r="AJ513" s="4">
        <v>0</v>
      </c>
      <c r="AK513" s="4">
        <v>3</v>
      </c>
      <c r="AL513" s="4">
        <v>0</v>
      </c>
      <c r="AM513" s="4">
        <v>1</v>
      </c>
      <c r="AN513" s="4">
        <v>0</v>
      </c>
      <c r="AO513" s="4">
        <v>0</v>
      </c>
      <c r="AP513" s="3" t="s">
        <v>58</v>
      </c>
      <c r="AQ513" s="3" t="s">
        <v>58</v>
      </c>
      <c r="AS513" s="6" t="str">
        <f>HYPERLINK("https://creighton-primo.hosted.exlibrisgroup.com/primo-explore/search?tab=default_tab&amp;search_scope=EVERYTHING&amp;vid=01CRU&amp;lang=en_US&amp;offset=0&amp;query=any,contains,991003052079702656","Catalog Record")</f>
        <v>Catalog Record</v>
      </c>
      <c r="AT513" s="6" t="str">
        <f>HYPERLINK("http://www.worldcat.org/oclc/43289863","WorldCat Record")</f>
        <v>WorldCat Record</v>
      </c>
      <c r="AU513" s="3" t="s">
        <v>6578</v>
      </c>
      <c r="AV513" s="3" t="s">
        <v>6579</v>
      </c>
      <c r="AW513" s="3" t="s">
        <v>6580</v>
      </c>
      <c r="AX513" s="3" t="s">
        <v>6580</v>
      </c>
      <c r="AY513" s="3" t="s">
        <v>6581</v>
      </c>
      <c r="AZ513" s="3" t="s">
        <v>75</v>
      </c>
      <c r="BC513" s="3" t="s">
        <v>6582</v>
      </c>
      <c r="BD513" s="3" t="s">
        <v>6583</v>
      </c>
    </row>
    <row r="514" spans="1:56" ht="39" customHeight="1" x14ac:dyDescent="0.25">
      <c r="A514" s="7" t="s">
        <v>58</v>
      </c>
      <c r="B514" s="2" t="s">
        <v>6584</v>
      </c>
      <c r="C514" s="2" t="s">
        <v>6585</v>
      </c>
      <c r="D514" s="2" t="s">
        <v>6586</v>
      </c>
      <c r="F514" s="3" t="s">
        <v>58</v>
      </c>
      <c r="G514" s="3" t="s">
        <v>59</v>
      </c>
      <c r="H514" s="3" t="s">
        <v>58</v>
      </c>
      <c r="I514" s="3" t="s">
        <v>58</v>
      </c>
      <c r="J514" s="3" t="s">
        <v>60</v>
      </c>
      <c r="K514" s="2" t="s">
        <v>6587</v>
      </c>
      <c r="L514" s="2" t="s">
        <v>6588</v>
      </c>
      <c r="M514" s="3" t="s">
        <v>215</v>
      </c>
      <c r="O514" s="3" t="s">
        <v>65</v>
      </c>
      <c r="P514" s="3" t="s">
        <v>186</v>
      </c>
      <c r="R514" s="3" t="s">
        <v>68</v>
      </c>
      <c r="S514" s="4">
        <v>2</v>
      </c>
      <c r="T514" s="4">
        <v>2</v>
      </c>
      <c r="U514" s="5" t="s">
        <v>6589</v>
      </c>
      <c r="V514" s="5" t="s">
        <v>6589</v>
      </c>
      <c r="W514" s="5" t="s">
        <v>6589</v>
      </c>
      <c r="X514" s="5" t="s">
        <v>6589</v>
      </c>
      <c r="Y514" s="4">
        <v>125</v>
      </c>
      <c r="Z514" s="4">
        <v>107</v>
      </c>
      <c r="AA514" s="4">
        <v>107</v>
      </c>
      <c r="AB514" s="4">
        <v>1</v>
      </c>
      <c r="AC514" s="4">
        <v>1</v>
      </c>
      <c r="AD514" s="4">
        <v>11</v>
      </c>
      <c r="AE514" s="4">
        <v>11</v>
      </c>
      <c r="AF514" s="4">
        <v>4</v>
      </c>
      <c r="AG514" s="4">
        <v>4</v>
      </c>
      <c r="AH514" s="4">
        <v>1</v>
      </c>
      <c r="AI514" s="4">
        <v>1</v>
      </c>
      <c r="AJ514" s="4">
        <v>8</v>
      </c>
      <c r="AK514" s="4">
        <v>8</v>
      </c>
      <c r="AL514" s="4">
        <v>0</v>
      </c>
      <c r="AM514" s="4">
        <v>0</v>
      </c>
      <c r="AN514" s="4">
        <v>0</v>
      </c>
      <c r="AO514" s="4">
        <v>0</v>
      </c>
      <c r="AP514" s="3" t="s">
        <v>58</v>
      </c>
      <c r="AQ514" s="3" t="s">
        <v>58</v>
      </c>
      <c r="AS514" s="6" t="str">
        <f>HYPERLINK("https://creighton-primo.hosted.exlibrisgroup.com/primo-explore/search?tab=default_tab&amp;search_scope=EVERYTHING&amp;vid=01CRU&amp;lang=en_US&amp;offset=0&amp;query=any,contains,991003852619702656","Catalog Record")</f>
        <v>Catalog Record</v>
      </c>
      <c r="AT514" s="6" t="str">
        <f>HYPERLINK("http://www.worldcat.org/oclc/16131918","WorldCat Record")</f>
        <v>WorldCat Record</v>
      </c>
      <c r="AU514" s="3" t="s">
        <v>6590</v>
      </c>
      <c r="AV514" s="3" t="s">
        <v>6591</v>
      </c>
      <c r="AW514" s="3" t="s">
        <v>6592</v>
      </c>
      <c r="AX514" s="3" t="s">
        <v>6592</v>
      </c>
      <c r="AY514" s="3" t="s">
        <v>6593</v>
      </c>
      <c r="AZ514" s="3" t="s">
        <v>75</v>
      </c>
      <c r="BB514" s="3" t="s">
        <v>6594</v>
      </c>
      <c r="BC514" s="3" t="s">
        <v>6595</v>
      </c>
      <c r="BD514" s="3" t="s">
        <v>6596</v>
      </c>
    </row>
    <row r="515" spans="1:56" ht="39" customHeight="1" x14ac:dyDescent="0.25">
      <c r="A515" s="7" t="s">
        <v>58</v>
      </c>
      <c r="B515" s="2" t="s">
        <v>6597</v>
      </c>
      <c r="C515" s="2" t="s">
        <v>6598</v>
      </c>
      <c r="D515" s="2" t="s">
        <v>6599</v>
      </c>
      <c r="F515" s="3" t="s">
        <v>58</v>
      </c>
      <c r="G515" s="3" t="s">
        <v>59</v>
      </c>
      <c r="H515" s="3" t="s">
        <v>58</v>
      </c>
      <c r="I515" s="3" t="s">
        <v>58</v>
      </c>
      <c r="J515" s="3" t="s">
        <v>60</v>
      </c>
      <c r="L515" s="2" t="s">
        <v>6600</v>
      </c>
      <c r="M515" s="3" t="s">
        <v>709</v>
      </c>
      <c r="N515" s="2" t="s">
        <v>476</v>
      </c>
      <c r="O515" s="3" t="s">
        <v>65</v>
      </c>
      <c r="P515" s="3" t="s">
        <v>1724</v>
      </c>
      <c r="R515" s="3" t="s">
        <v>68</v>
      </c>
      <c r="S515" s="4">
        <v>2</v>
      </c>
      <c r="T515" s="4">
        <v>2</v>
      </c>
      <c r="U515" s="5" t="s">
        <v>6601</v>
      </c>
      <c r="V515" s="5" t="s">
        <v>6601</v>
      </c>
      <c r="W515" s="5" t="s">
        <v>1879</v>
      </c>
      <c r="X515" s="5" t="s">
        <v>1879</v>
      </c>
      <c r="Y515" s="4">
        <v>344</v>
      </c>
      <c r="Z515" s="4">
        <v>299</v>
      </c>
      <c r="AA515" s="4">
        <v>303</v>
      </c>
      <c r="AB515" s="4">
        <v>2</v>
      </c>
      <c r="AC515" s="4">
        <v>2</v>
      </c>
      <c r="AD515" s="4">
        <v>17</v>
      </c>
      <c r="AE515" s="4">
        <v>17</v>
      </c>
      <c r="AF515" s="4">
        <v>7</v>
      </c>
      <c r="AG515" s="4">
        <v>7</v>
      </c>
      <c r="AH515" s="4">
        <v>3</v>
      </c>
      <c r="AI515" s="4">
        <v>3</v>
      </c>
      <c r="AJ515" s="4">
        <v>11</v>
      </c>
      <c r="AK515" s="4">
        <v>11</v>
      </c>
      <c r="AL515" s="4">
        <v>1</v>
      </c>
      <c r="AM515" s="4">
        <v>1</v>
      </c>
      <c r="AN515" s="4">
        <v>1</v>
      </c>
      <c r="AO515" s="4">
        <v>1</v>
      </c>
      <c r="AP515" s="3" t="s">
        <v>58</v>
      </c>
      <c r="AQ515" s="3" t="s">
        <v>58</v>
      </c>
      <c r="AS515" s="6" t="str">
        <f>HYPERLINK("https://creighton-primo.hosted.exlibrisgroup.com/primo-explore/search?tab=default_tab&amp;search_scope=EVERYTHING&amp;vid=01CRU&amp;lang=en_US&amp;offset=0&amp;query=any,contains,991001658349702656","Catalog Record")</f>
        <v>Catalog Record</v>
      </c>
      <c r="AT515" s="6" t="str">
        <f>HYPERLINK("http://www.worldcat.org/oclc/21153063","WorldCat Record")</f>
        <v>WorldCat Record</v>
      </c>
      <c r="AU515" s="3" t="s">
        <v>6602</v>
      </c>
      <c r="AV515" s="3" t="s">
        <v>6603</v>
      </c>
      <c r="AW515" s="3" t="s">
        <v>6604</v>
      </c>
      <c r="AX515" s="3" t="s">
        <v>6604</v>
      </c>
      <c r="AY515" s="3" t="s">
        <v>6605</v>
      </c>
      <c r="AZ515" s="3" t="s">
        <v>75</v>
      </c>
      <c r="BB515" s="3" t="s">
        <v>6606</v>
      </c>
      <c r="BC515" s="3" t="s">
        <v>6607</v>
      </c>
      <c r="BD515" s="3" t="s">
        <v>6608</v>
      </c>
    </row>
    <row r="516" spans="1:56" ht="39" customHeight="1" x14ac:dyDescent="0.25">
      <c r="A516" s="7" t="s">
        <v>58</v>
      </c>
      <c r="B516" s="2" t="s">
        <v>6609</v>
      </c>
      <c r="C516" s="2" t="s">
        <v>6610</v>
      </c>
      <c r="D516" s="2" t="s">
        <v>6611</v>
      </c>
      <c r="F516" s="3" t="s">
        <v>58</v>
      </c>
      <c r="G516" s="3" t="s">
        <v>59</v>
      </c>
      <c r="H516" s="3" t="s">
        <v>58</v>
      </c>
      <c r="I516" s="3" t="s">
        <v>58</v>
      </c>
      <c r="J516" s="3" t="s">
        <v>60</v>
      </c>
      <c r="K516" s="2" t="s">
        <v>6612</v>
      </c>
      <c r="L516" s="2" t="s">
        <v>6613</v>
      </c>
      <c r="M516" s="3" t="s">
        <v>759</v>
      </c>
      <c r="O516" s="3" t="s">
        <v>65</v>
      </c>
      <c r="P516" s="3" t="s">
        <v>201</v>
      </c>
      <c r="Q516" s="2" t="s">
        <v>6614</v>
      </c>
      <c r="R516" s="3" t="s">
        <v>68</v>
      </c>
      <c r="S516" s="4">
        <v>1</v>
      </c>
      <c r="T516" s="4">
        <v>1</v>
      </c>
      <c r="U516" s="5" t="s">
        <v>6129</v>
      </c>
      <c r="V516" s="5" t="s">
        <v>6129</v>
      </c>
      <c r="W516" s="5" t="s">
        <v>6129</v>
      </c>
      <c r="X516" s="5" t="s">
        <v>6129</v>
      </c>
      <c r="Y516" s="4">
        <v>71</v>
      </c>
      <c r="Z516" s="4">
        <v>61</v>
      </c>
      <c r="AA516" s="4">
        <v>61</v>
      </c>
      <c r="AB516" s="4">
        <v>1</v>
      </c>
      <c r="AC516" s="4">
        <v>1</v>
      </c>
      <c r="AD516" s="4">
        <v>3</v>
      </c>
      <c r="AE516" s="4">
        <v>3</v>
      </c>
      <c r="AF516" s="4">
        <v>1</v>
      </c>
      <c r="AG516" s="4">
        <v>1</v>
      </c>
      <c r="AH516" s="4">
        <v>1</v>
      </c>
      <c r="AI516" s="4">
        <v>1</v>
      </c>
      <c r="AJ516" s="4">
        <v>1</v>
      </c>
      <c r="AK516" s="4">
        <v>1</v>
      </c>
      <c r="AL516" s="4">
        <v>0</v>
      </c>
      <c r="AM516" s="4">
        <v>0</v>
      </c>
      <c r="AN516" s="4">
        <v>0</v>
      </c>
      <c r="AO516" s="4">
        <v>0</v>
      </c>
      <c r="AP516" s="3" t="s">
        <v>58</v>
      </c>
      <c r="AQ516" s="3" t="s">
        <v>58</v>
      </c>
      <c r="AS516" s="6" t="str">
        <f>HYPERLINK("https://creighton-primo.hosted.exlibrisgroup.com/primo-explore/search?tab=default_tab&amp;search_scope=EVERYTHING&amp;vid=01CRU&amp;lang=en_US&amp;offset=0&amp;query=any,contains,991005279049702656","Catalog Record")</f>
        <v>Catalog Record</v>
      </c>
      <c r="AT516" s="6" t="str">
        <f>HYPERLINK("http://www.worldcat.org/oclc/18416156","WorldCat Record")</f>
        <v>WorldCat Record</v>
      </c>
      <c r="AU516" s="3" t="s">
        <v>6615</v>
      </c>
      <c r="AV516" s="3" t="s">
        <v>6616</v>
      </c>
      <c r="AW516" s="3" t="s">
        <v>6617</v>
      </c>
      <c r="AX516" s="3" t="s">
        <v>6617</v>
      </c>
      <c r="AY516" s="3" t="s">
        <v>6618</v>
      </c>
      <c r="AZ516" s="3" t="s">
        <v>75</v>
      </c>
      <c r="BB516" s="3" t="s">
        <v>6619</v>
      </c>
      <c r="BC516" s="3" t="s">
        <v>6620</v>
      </c>
      <c r="BD516" s="3" t="s">
        <v>6621</v>
      </c>
    </row>
    <row r="517" spans="1:56" ht="39" customHeight="1" x14ac:dyDescent="0.25">
      <c r="A517" s="7" t="s">
        <v>58</v>
      </c>
      <c r="B517" s="2" t="s">
        <v>6622</v>
      </c>
      <c r="C517" s="2" t="s">
        <v>6623</v>
      </c>
      <c r="D517" s="2" t="s">
        <v>6624</v>
      </c>
      <c r="F517" s="3" t="s">
        <v>58</v>
      </c>
      <c r="G517" s="3" t="s">
        <v>59</v>
      </c>
      <c r="H517" s="3" t="s">
        <v>58</v>
      </c>
      <c r="I517" s="3" t="s">
        <v>58</v>
      </c>
      <c r="J517" s="3" t="s">
        <v>60</v>
      </c>
      <c r="K517" s="2" t="s">
        <v>6625</v>
      </c>
      <c r="L517" s="2" t="s">
        <v>6255</v>
      </c>
      <c r="M517" s="3" t="s">
        <v>4281</v>
      </c>
      <c r="O517" s="3" t="s">
        <v>65</v>
      </c>
      <c r="P517" s="3" t="s">
        <v>201</v>
      </c>
      <c r="Q517" s="2" t="s">
        <v>6256</v>
      </c>
      <c r="R517" s="3" t="s">
        <v>68</v>
      </c>
      <c r="S517" s="4">
        <v>2</v>
      </c>
      <c r="T517" s="4">
        <v>2</v>
      </c>
      <c r="U517" s="5" t="s">
        <v>6257</v>
      </c>
      <c r="V517" s="5" t="s">
        <v>6257</v>
      </c>
      <c r="W517" s="5" t="s">
        <v>6257</v>
      </c>
      <c r="X517" s="5" t="s">
        <v>6257</v>
      </c>
      <c r="Y517" s="4">
        <v>304</v>
      </c>
      <c r="Z517" s="4">
        <v>237</v>
      </c>
      <c r="AA517" s="4">
        <v>242</v>
      </c>
      <c r="AB517" s="4">
        <v>4</v>
      </c>
      <c r="AC517" s="4">
        <v>4</v>
      </c>
      <c r="AD517" s="4">
        <v>24</v>
      </c>
      <c r="AE517" s="4">
        <v>24</v>
      </c>
      <c r="AF517" s="4">
        <v>8</v>
      </c>
      <c r="AG517" s="4">
        <v>8</v>
      </c>
      <c r="AH517" s="4">
        <v>4</v>
      </c>
      <c r="AI517" s="4">
        <v>4</v>
      </c>
      <c r="AJ517" s="4">
        <v>13</v>
      </c>
      <c r="AK517" s="4">
        <v>13</v>
      </c>
      <c r="AL517" s="4">
        <v>3</v>
      </c>
      <c r="AM517" s="4">
        <v>3</v>
      </c>
      <c r="AN517" s="4">
        <v>0</v>
      </c>
      <c r="AO517" s="4">
        <v>0</v>
      </c>
      <c r="AP517" s="3" t="s">
        <v>58</v>
      </c>
      <c r="AQ517" s="3" t="s">
        <v>58</v>
      </c>
      <c r="AS517" s="6" t="str">
        <f>HYPERLINK("https://creighton-primo.hosted.exlibrisgroup.com/primo-explore/search?tab=default_tab&amp;search_scope=EVERYTHING&amp;vid=01CRU&amp;lang=en_US&amp;offset=0&amp;query=any,contains,991004423529702656","Catalog Record")</f>
        <v>Catalog Record</v>
      </c>
      <c r="AT517" s="6" t="str">
        <f>HYPERLINK("http://www.worldcat.org/oclc/54682540","WorldCat Record")</f>
        <v>WorldCat Record</v>
      </c>
      <c r="AU517" s="3" t="s">
        <v>6626</v>
      </c>
      <c r="AV517" s="3" t="s">
        <v>6627</v>
      </c>
      <c r="AW517" s="3" t="s">
        <v>6628</v>
      </c>
      <c r="AX517" s="3" t="s">
        <v>6628</v>
      </c>
      <c r="AY517" s="3" t="s">
        <v>6629</v>
      </c>
      <c r="AZ517" s="3" t="s">
        <v>75</v>
      </c>
      <c r="BB517" s="3" t="s">
        <v>6630</v>
      </c>
      <c r="BC517" s="3" t="s">
        <v>6631</v>
      </c>
      <c r="BD517" s="3" t="s">
        <v>6632</v>
      </c>
    </row>
    <row r="518" spans="1:56" ht="39" customHeight="1" x14ac:dyDescent="0.25">
      <c r="A518" s="7" t="s">
        <v>58</v>
      </c>
      <c r="B518" s="2" t="s">
        <v>6633</v>
      </c>
      <c r="C518" s="2" t="s">
        <v>6634</v>
      </c>
      <c r="D518" s="2" t="s">
        <v>6635</v>
      </c>
      <c r="F518" s="3" t="s">
        <v>58</v>
      </c>
      <c r="G518" s="3" t="s">
        <v>59</v>
      </c>
      <c r="H518" s="3" t="s">
        <v>58</v>
      </c>
      <c r="I518" s="3" t="s">
        <v>58</v>
      </c>
      <c r="J518" s="3" t="s">
        <v>60</v>
      </c>
      <c r="K518" s="2" t="s">
        <v>6636</v>
      </c>
      <c r="L518" s="2" t="s">
        <v>6637</v>
      </c>
      <c r="M518" s="3" t="s">
        <v>709</v>
      </c>
      <c r="O518" s="3" t="s">
        <v>65</v>
      </c>
      <c r="P518" s="3" t="s">
        <v>186</v>
      </c>
      <c r="Q518" s="2" t="s">
        <v>5438</v>
      </c>
      <c r="R518" s="3" t="s">
        <v>68</v>
      </c>
      <c r="S518" s="4">
        <v>2</v>
      </c>
      <c r="T518" s="4">
        <v>2</v>
      </c>
      <c r="U518" s="5" t="s">
        <v>6638</v>
      </c>
      <c r="V518" s="5" t="s">
        <v>6638</v>
      </c>
      <c r="W518" s="5" t="s">
        <v>6639</v>
      </c>
      <c r="X518" s="5" t="s">
        <v>6639</v>
      </c>
      <c r="Y518" s="4">
        <v>165</v>
      </c>
      <c r="Z518" s="4">
        <v>143</v>
      </c>
      <c r="AA518" s="4">
        <v>143</v>
      </c>
      <c r="AB518" s="4">
        <v>1</v>
      </c>
      <c r="AC518" s="4">
        <v>1</v>
      </c>
      <c r="AD518" s="4">
        <v>10</v>
      </c>
      <c r="AE518" s="4">
        <v>10</v>
      </c>
      <c r="AF518" s="4">
        <v>4</v>
      </c>
      <c r="AG518" s="4">
        <v>4</v>
      </c>
      <c r="AH518" s="4">
        <v>2</v>
      </c>
      <c r="AI518" s="4">
        <v>2</v>
      </c>
      <c r="AJ518" s="4">
        <v>6</v>
      </c>
      <c r="AK518" s="4">
        <v>6</v>
      </c>
      <c r="AL518" s="4">
        <v>0</v>
      </c>
      <c r="AM518" s="4">
        <v>0</v>
      </c>
      <c r="AN518" s="4">
        <v>0</v>
      </c>
      <c r="AO518" s="4">
        <v>0</v>
      </c>
      <c r="AP518" s="3" t="s">
        <v>58</v>
      </c>
      <c r="AQ518" s="3" t="s">
        <v>58</v>
      </c>
      <c r="AS518" s="6" t="str">
        <f>HYPERLINK("https://creighton-primo.hosted.exlibrisgroup.com/primo-explore/search?tab=default_tab&amp;search_scope=EVERYTHING&amp;vid=01CRU&amp;lang=en_US&amp;offset=0&amp;query=any,contains,991001567999702656","Catalog Record")</f>
        <v>Catalog Record</v>
      </c>
      <c r="AT518" s="6" t="str">
        <f>HYPERLINK("http://www.worldcat.org/oclc/20356189","WorldCat Record")</f>
        <v>WorldCat Record</v>
      </c>
      <c r="AU518" s="3" t="s">
        <v>6640</v>
      </c>
      <c r="AV518" s="3" t="s">
        <v>6641</v>
      </c>
      <c r="AW518" s="3" t="s">
        <v>6642</v>
      </c>
      <c r="AX518" s="3" t="s">
        <v>6642</v>
      </c>
      <c r="AY518" s="3" t="s">
        <v>6643</v>
      </c>
      <c r="AZ518" s="3" t="s">
        <v>75</v>
      </c>
      <c r="BB518" s="3" t="s">
        <v>6644</v>
      </c>
      <c r="BC518" s="3" t="s">
        <v>6645</v>
      </c>
      <c r="BD518" s="3" t="s">
        <v>6646</v>
      </c>
    </row>
    <row r="519" spans="1:56" ht="39" customHeight="1" x14ac:dyDescent="0.25">
      <c r="A519" s="7" t="s">
        <v>58</v>
      </c>
      <c r="B519" s="2" t="s">
        <v>6647</v>
      </c>
      <c r="C519" s="2" t="s">
        <v>6648</v>
      </c>
      <c r="D519" s="2" t="s">
        <v>6649</v>
      </c>
      <c r="F519" s="3" t="s">
        <v>58</v>
      </c>
      <c r="G519" s="3" t="s">
        <v>59</v>
      </c>
      <c r="H519" s="3" t="s">
        <v>58</v>
      </c>
      <c r="I519" s="3" t="s">
        <v>58</v>
      </c>
      <c r="J519" s="3" t="s">
        <v>60</v>
      </c>
      <c r="K519" s="2" t="s">
        <v>6650</v>
      </c>
      <c r="L519" s="2" t="s">
        <v>2039</v>
      </c>
      <c r="M519" s="3" t="s">
        <v>544</v>
      </c>
      <c r="O519" s="3" t="s">
        <v>65</v>
      </c>
      <c r="P519" s="3" t="s">
        <v>346</v>
      </c>
      <c r="R519" s="3" t="s">
        <v>68</v>
      </c>
      <c r="S519" s="4">
        <v>1</v>
      </c>
      <c r="T519" s="4">
        <v>1</v>
      </c>
      <c r="U519" s="5" t="s">
        <v>6651</v>
      </c>
      <c r="V519" s="5" t="s">
        <v>6651</v>
      </c>
      <c r="W519" s="5" t="s">
        <v>6507</v>
      </c>
      <c r="X519" s="5" t="s">
        <v>6507</v>
      </c>
      <c r="Y519" s="4">
        <v>191</v>
      </c>
      <c r="Z519" s="4">
        <v>163</v>
      </c>
      <c r="AA519" s="4">
        <v>163</v>
      </c>
      <c r="AB519" s="4">
        <v>1</v>
      </c>
      <c r="AC519" s="4">
        <v>1</v>
      </c>
      <c r="AD519" s="4">
        <v>7</v>
      </c>
      <c r="AE519" s="4">
        <v>7</v>
      </c>
      <c r="AF519" s="4">
        <v>3</v>
      </c>
      <c r="AG519" s="4">
        <v>3</v>
      </c>
      <c r="AH519" s="4">
        <v>2</v>
      </c>
      <c r="AI519" s="4">
        <v>2</v>
      </c>
      <c r="AJ519" s="4">
        <v>2</v>
      </c>
      <c r="AK519" s="4">
        <v>2</v>
      </c>
      <c r="AL519" s="4">
        <v>0</v>
      </c>
      <c r="AM519" s="4">
        <v>0</v>
      </c>
      <c r="AN519" s="4">
        <v>0</v>
      </c>
      <c r="AO519" s="4">
        <v>0</v>
      </c>
      <c r="AP519" s="3" t="s">
        <v>58</v>
      </c>
      <c r="AQ519" s="3" t="s">
        <v>58</v>
      </c>
      <c r="AS519" s="6" t="str">
        <f>HYPERLINK("https://creighton-primo.hosted.exlibrisgroup.com/primo-explore/search?tab=default_tab&amp;search_scope=EVERYTHING&amp;vid=01CRU&amp;lang=en_US&amp;offset=0&amp;query=any,contains,991003565889702656","Catalog Record")</f>
        <v>Catalog Record</v>
      </c>
      <c r="AT519" s="6" t="str">
        <f>HYPERLINK("http://www.worldcat.org/oclc/40473793","WorldCat Record")</f>
        <v>WorldCat Record</v>
      </c>
      <c r="AU519" s="3" t="s">
        <v>6652</v>
      </c>
      <c r="AV519" s="3" t="s">
        <v>6653</v>
      </c>
      <c r="AW519" s="3" t="s">
        <v>6654</v>
      </c>
      <c r="AX519" s="3" t="s">
        <v>6654</v>
      </c>
      <c r="AY519" s="3" t="s">
        <v>6655</v>
      </c>
      <c r="AZ519" s="3" t="s">
        <v>75</v>
      </c>
      <c r="BB519" s="3" t="s">
        <v>6656</v>
      </c>
      <c r="BC519" s="3" t="s">
        <v>6657</v>
      </c>
      <c r="BD519" s="3" t="s">
        <v>6658</v>
      </c>
    </row>
    <row r="520" spans="1:56" ht="39" customHeight="1" x14ac:dyDescent="0.25">
      <c r="A520" s="7" t="s">
        <v>58</v>
      </c>
      <c r="B520" s="2" t="s">
        <v>6659</v>
      </c>
      <c r="C520" s="2" t="s">
        <v>6660</v>
      </c>
      <c r="D520" s="2" t="s">
        <v>6661</v>
      </c>
      <c r="F520" s="3" t="s">
        <v>58</v>
      </c>
      <c r="G520" s="3" t="s">
        <v>59</v>
      </c>
      <c r="H520" s="3" t="s">
        <v>58</v>
      </c>
      <c r="I520" s="3" t="s">
        <v>58</v>
      </c>
      <c r="J520" s="3" t="s">
        <v>60</v>
      </c>
      <c r="K520" s="2" t="s">
        <v>6662</v>
      </c>
      <c r="L520" s="2" t="s">
        <v>2230</v>
      </c>
      <c r="M520" s="3" t="s">
        <v>2231</v>
      </c>
      <c r="N520" s="2" t="s">
        <v>2831</v>
      </c>
      <c r="O520" s="3" t="s">
        <v>65</v>
      </c>
      <c r="P520" s="3" t="s">
        <v>186</v>
      </c>
      <c r="R520" s="3" t="s">
        <v>68</v>
      </c>
      <c r="S520" s="4">
        <v>0</v>
      </c>
      <c r="T520" s="4">
        <v>0</v>
      </c>
      <c r="U520" s="5" t="s">
        <v>6663</v>
      </c>
      <c r="V520" s="5" t="s">
        <v>6663</v>
      </c>
      <c r="W520" s="5" t="s">
        <v>6244</v>
      </c>
      <c r="X520" s="5" t="s">
        <v>6244</v>
      </c>
      <c r="Y520" s="4">
        <v>257</v>
      </c>
      <c r="Z520" s="4">
        <v>237</v>
      </c>
      <c r="AA520" s="4">
        <v>244</v>
      </c>
      <c r="AB520" s="4">
        <v>2</v>
      </c>
      <c r="AC520" s="4">
        <v>2</v>
      </c>
      <c r="AD520" s="4">
        <v>25</v>
      </c>
      <c r="AE520" s="4">
        <v>25</v>
      </c>
      <c r="AF520" s="4">
        <v>9</v>
      </c>
      <c r="AG520" s="4">
        <v>9</v>
      </c>
      <c r="AH520" s="4">
        <v>7</v>
      </c>
      <c r="AI520" s="4">
        <v>7</v>
      </c>
      <c r="AJ520" s="4">
        <v>19</v>
      </c>
      <c r="AK520" s="4">
        <v>19</v>
      </c>
      <c r="AL520" s="4">
        <v>0</v>
      </c>
      <c r="AM520" s="4">
        <v>0</v>
      </c>
      <c r="AN520" s="4">
        <v>0</v>
      </c>
      <c r="AO520" s="4">
        <v>0</v>
      </c>
      <c r="AP520" s="3" t="s">
        <v>132</v>
      </c>
      <c r="AQ520" s="3" t="s">
        <v>58</v>
      </c>
      <c r="AR520" s="6" t="str">
        <f>HYPERLINK("http://catalog.hathitrust.org/Record/006640912","HathiTrust Record")</f>
        <v>HathiTrust Record</v>
      </c>
      <c r="AS520" s="6" t="str">
        <f>HYPERLINK("https://creighton-primo.hosted.exlibrisgroup.com/primo-explore/search?tab=default_tab&amp;search_scope=EVERYTHING&amp;vid=01CRU&amp;lang=en_US&amp;offset=0&amp;query=any,contains,991002723879702656","Catalog Record")</f>
        <v>Catalog Record</v>
      </c>
      <c r="AT520" s="6" t="str">
        <f>HYPERLINK("http://www.worldcat.org/oclc/413819","WorldCat Record")</f>
        <v>WorldCat Record</v>
      </c>
      <c r="AU520" s="3" t="s">
        <v>6664</v>
      </c>
      <c r="AV520" s="3" t="s">
        <v>6665</v>
      </c>
      <c r="AW520" s="3" t="s">
        <v>6666</v>
      </c>
      <c r="AX520" s="3" t="s">
        <v>6666</v>
      </c>
      <c r="AY520" s="3" t="s">
        <v>6667</v>
      </c>
      <c r="AZ520" s="3" t="s">
        <v>75</v>
      </c>
      <c r="BC520" s="3" t="s">
        <v>6668</v>
      </c>
      <c r="BD520" s="3" t="s">
        <v>6669</v>
      </c>
    </row>
    <row r="521" spans="1:56" ht="39" customHeight="1" x14ac:dyDescent="0.25">
      <c r="A521" s="7" t="s">
        <v>58</v>
      </c>
      <c r="B521" s="2" t="s">
        <v>6670</v>
      </c>
      <c r="C521" s="2" t="s">
        <v>6671</v>
      </c>
      <c r="D521" s="2" t="s">
        <v>6672</v>
      </c>
      <c r="F521" s="3" t="s">
        <v>58</v>
      </c>
      <c r="G521" s="3" t="s">
        <v>59</v>
      </c>
      <c r="H521" s="3" t="s">
        <v>58</v>
      </c>
      <c r="I521" s="3" t="s">
        <v>58</v>
      </c>
      <c r="J521" s="3" t="s">
        <v>60</v>
      </c>
      <c r="K521" s="2" t="s">
        <v>3893</v>
      </c>
      <c r="L521" s="2" t="s">
        <v>6673</v>
      </c>
      <c r="M521" s="3" t="s">
        <v>361</v>
      </c>
      <c r="O521" s="3" t="s">
        <v>65</v>
      </c>
      <c r="P521" s="3" t="s">
        <v>113</v>
      </c>
      <c r="Q521" s="2" t="s">
        <v>6674</v>
      </c>
      <c r="R521" s="3" t="s">
        <v>68</v>
      </c>
      <c r="S521" s="4">
        <v>6</v>
      </c>
      <c r="T521" s="4">
        <v>6</v>
      </c>
      <c r="U521" s="5" t="s">
        <v>6675</v>
      </c>
      <c r="V521" s="5" t="s">
        <v>6675</v>
      </c>
      <c r="W521" s="5" t="s">
        <v>6244</v>
      </c>
      <c r="X521" s="5" t="s">
        <v>6244</v>
      </c>
      <c r="Y521" s="4">
        <v>50</v>
      </c>
      <c r="Z521" s="4">
        <v>50</v>
      </c>
      <c r="AA521" s="4">
        <v>50</v>
      </c>
      <c r="AB521" s="4">
        <v>1</v>
      </c>
      <c r="AC521" s="4">
        <v>1</v>
      </c>
      <c r="AD521" s="4">
        <v>6</v>
      </c>
      <c r="AE521" s="4">
        <v>6</v>
      </c>
      <c r="AF521" s="4">
        <v>1</v>
      </c>
      <c r="AG521" s="4">
        <v>1</v>
      </c>
      <c r="AH521" s="4">
        <v>1</v>
      </c>
      <c r="AI521" s="4">
        <v>1</v>
      </c>
      <c r="AJ521" s="4">
        <v>6</v>
      </c>
      <c r="AK521" s="4">
        <v>6</v>
      </c>
      <c r="AL521" s="4">
        <v>0</v>
      </c>
      <c r="AM521" s="4">
        <v>0</v>
      </c>
      <c r="AN521" s="4">
        <v>0</v>
      </c>
      <c r="AO521" s="4">
        <v>0</v>
      </c>
      <c r="AP521" s="3" t="s">
        <v>58</v>
      </c>
      <c r="AQ521" s="3" t="s">
        <v>58</v>
      </c>
      <c r="AS521" s="6" t="str">
        <f>HYPERLINK("https://creighton-primo.hosted.exlibrisgroup.com/primo-explore/search?tab=default_tab&amp;search_scope=EVERYTHING&amp;vid=01CRU&amp;lang=en_US&amp;offset=0&amp;query=any,contains,991000420939702656","Catalog Record")</f>
        <v>Catalog Record</v>
      </c>
      <c r="AT521" s="6" t="str">
        <f>HYPERLINK("http://www.worldcat.org/oclc/10733699","WorldCat Record")</f>
        <v>WorldCat Record</v>
      </c>
      <c r="AU521" s="3" t="s">
        <v>6676</v>
      </c>
      <c r="AV521" s="3" t="s">
        <v>6677</v>
      </c>
      <c r="AW521" s="3" t="s">
        <v>6678</v>
      </c>
      <c r="AX521" s="3" t="s">
        <v>6678</v>
      </c>
      <c r="AY521" s="3" t="s">
        <v>6679</v>
      </c>
      <c r="AZ521" s="3" t="s">
        <v>75</v>
      </c>
      <c r="BC521" s="3" t="s">
        <v>6680</v>
      </c>
      <c r="BD521" s="3" t="s">
        <v>6681</v>
      </c>
    </row>
    <row r="522" spans="1:56" ht="39" customHeight="1" x14ac:dyDescent="0.25">
      <c r="A522" s="7" t="s">
        <v>58</v>
      </c>
      <c r="B522" s="2" t="s">
        <v>6682</v>
      </c>
      <c r="C522" s="2" t="s">
        <v>6683</v>
      </c>
      <c r="D522" s="2" t="s">
        <v>6684</v>
      </c>
      <c r="F522" s="3" t="s">
        <v>58</v>
      </c>
      <c r="G522" s="3" t="s">
        <v>59</v>
      </c>
      <c r="H522" s="3" t="s">
        <v>58</v>
      </c>
      <c r="I522" s="3" t="s">
        <v>58</v>
      </c>
      <c r="J522" s="3" t="s">
        <v>60</v>
      </c>
      <c r="K522" s="2" t="s">
        <v>3893</v>
      </c>
      <c r="L522" s="2" t="s">
        <v>6685</v>
      </c>
      <c r="M522" s="3" t="s">
        <v>759</v>
      </c>
      <c r="N522" s="2" t="s">
        <v>6686</v>
      </c>
      <c r="O522" s="3" t="s">
        <v>65</v>
      </c>
      <c r="P522" s="3" t="s">
        <v>113</v>
      </c>
      <c r="Q522" s="2" t="s">
        <v>6687</v>
      </c>
      <c r="R522" s="3" t="s">
        <v>68</v>
      </c>
      <c r="S522" s="4">
        <v>4</v>
      </c>
      <c r="T522" s="4">
        <v>4</v>
      </c>
      <c r="U522" s="5" t="s">
        <v>6675</v>
      </c>
      <c r="V522" s="5" t="s">
        <v>6675</v>
      </c>
      <c r="W522" s="5" t="s">
        <v>6244</v>
      </c>
      <c r="X522" s="5" t="s">
        <v>6244</v>
      </c>
      <c r="Y522" s="4">
        <v>107</v>
      </c>
      <c r="Z522" s="4">
        <v>104</v>
      </c>
      <c r="AA522" s="4">
        <v>109</v>
      </c>
      <c r="AB522" s="4">
        <v>1</v>
      </c>
      <c r="AC522" s="4">
        <v>1</v>
      </c>
      <c r="AD522" s="4">
        <v>20</v>
      </c>
      <c r="AE522" s="4">
        <v>20</v>
      </c>
      <c r="AF522" s="4">
        <v>6</v>
      </c>
      <c r="AG522" s="4">
        <v>6</v>
      </c>
      <c r="AH522" s="4">
        <v>6</v>
      </c>
      <c r="AI522" s="4">
        <v>6</v>
      </c>
      <c r="AJ522" s="4">
        <v>15</v>
      </c>
      <c r="AK522" s="4">
        <v>15</v>
      </c>
      <c r="AL522" s="4">
        <v>0</v>
      </c>
      <c r="AM522" s="4">
        <v>0</v>
      </c>
      <c r="AN522" s="4">
        <v>0</v>
      </c>
      <c r="AO522" s="4">
        <v>0</v>
      </c>
      <c r="AP522" s="3" t="s">
        <v>58</v>
      </c>
      <c r="AQ522" s="3" t="s">
        <v>132</v>
      </c>
      <c r="AR522" s="6" t="str">
        <f>HYPERLINK("http://catalog.hathitrust.org/Record/101544461","HathiTrust Record")</f>
        <v>HathiTrust Record</v>
      </c>
      <c r="AS522" s="6" t="str">
        <f>HYPERLINK("https://creighton-primo.hosted.exlibrisgroup.com/primo-explore/search?tab=default_tab&amp;search_scope=EVERYTHING&amp;vid=01CRU&amp;lang=en_US&amp;offset=0&amp;query=any,contains,991001288039702656","Catalog Record")</f>
        <v>Catalog Record</v>
      </c>
      <c r="AT522" s="6" t="str">
        <f>HYPERLINK("http://www.worldcat.org/oclc/18778892","WorldCat Record")</f>
        <v>WorldCat Record</v>
      </c>
      <c r="AU522" s="3" t="s">
        <v>6688</v>
      </c>
      <c r="AV522" s="3" t="s">
        <v>6689</v>
      </c>
      <c r="AW522" s="3" t="s">
        <v>6690</v>
      </c>
      <c r="AX522" s="3" t="s">
        <v>6690</v>
      </c>
      <c r="AY522" s="3" t="s">
        <v>6691</v>
      </c>
      <c r="AZ522" s="3" t="s">
        <v>75</v>
      </c>
      <c r="BB522" s="3" t="s">
        <v>6692</v>
      </c>
      <c r="BC522" s="3" t="s">
        <v>6693</v>
      </c>
      <c r="BD522" s="3" t="s">
        <v>6694</v>
      </c>
    </row>
    <row r="523" spans="1:56" ht="39" customHeight="1" x14ac:dyDescent="0.25">
      <c r="A523" s="7" t="s">
        <v>58</v>
      </c>
      <c r="B523" s="2" t="s">
        <v>6695</v>
      </c>
      <c r="C523" s="2" t="s">
        <v>6696</v>
      </c>
      <c r="D523" s="2" t="s">
        <v>6697</v>
      </c>
      <c r="F523" s="3" t="s">
        <v>58</v>
      </c>
      <c r="G523" s="3" t="s">
        <v>59</v>
      </c>
      <c r="H523" s="3" t="s">
        <v>58</v>
      </c>
      <c r="I523" s="3" t="s">
        <v>58</v>
      </c>
      <c r="J523" s="3" t="s">
        <v>60</v>
      </c>
      <c r="K523" s="2" t="s">
        <v>6698</v>
      </c>
      <c r="L523" s="2" t="s">
        <v>6699</v>
      </c>
      <c r="M523" s="3" t="s">
        <v>709</v>
      </c>
      <c r="N523" s="2" t="s">
        <v>6700</v>
      </c>
      <c r="O523" s="3" t="s">
        <v>65</v>
      </c>
      <c r="P523" s="3" t="s">
        <v>113</v>
      </c>
      <c r="Q523" s="2" t="s">
        <v>6701</v>
      </c>
      <c r="R523" s="3" t="s">
        <v>68</v>
      </c>
      <c r="S523" s="4">
        <v>4</v>
      </c>
      <c r="T523" s="4">
        <v>4</v>
      </c>
      <c r="U523" s="5" t="s">
        <v>6675</v>
      </c>
      <c r="V523" s="5" t="s">
        <v>6675</v>
      </c>
      <c r="W523" s="5" t="s">
        <v>6702</v>
      </c>
      <c r="X523" s="5" t="s">
        <v>6702</v>
      </c>
      <c r="Y523" s="4">
        <v>61</v>
      </c>
      <c r="Z523" s="4">
        <v>61</v>
      </c>
      <c r="AA523" s="4">
        <v>100</v>
      </c>
      <c r="AB523" s="4">
        <v>1</v>
      </c>
      <c r="AC523" s="4">
        <v>1</v>
      </c>
      <c r="AD523" s="4">
        <v>9</v>
      </c>
      <c r="AE523" s="4">
        <v>16</v>
      </c>
      <c r="AF523" s="4">
        <v>2</v>
      </c>
      <c r="AG523" s="4">
        <v>4</v>
      </c>
      <c r="AH523" s="4">
        <v>4</v>
      </c>
      <c r="AI523" s="4">
        <v>5</v>
      </c>
      <c r="AJ523" s="4">
        <v>6</v>
      </c>
      <c r="AK523" s="4">
        <v>12</v>
      </c>
      <c r="AL523" s="4">
        <v>0</v>
      </c>
      <c r="AM523" s="4">
        <v>0</v>
      </c>
      <c r="AN523" s="4">
        <v>0</v>
      </c>
      <c r="AO523" s="4">
        <v>0</v>
      </c>
      <c r="AP523" s="3" t="s">
        <v>58</v>
      </c>
      <c r="AQ523" s="3" t="s">
        <v>58</v>
      </c>
      <c r="AS523" s="6" t="str">
        <f>HYPERLINK("https://creighton-primo.hosted.exlibrisgroup.com/primo-explore/search?tab=default_tab&amp;search_scope=EVERYTHING&amp;vid=01CRU&amp;lang=en_US&amp;offset=0&amp;query=any,contains,991001814629702656","Catalog Record")</f>
        <v>Catalog Record</v>
      </c>
      <c r="AT523" s="6" t="str">
        <f>HYPERLINK("http://www.worldcat.org/oclc/22775904","WorldCat Record")</f>
        <v>WorldCat Record</v>
      </c>
      <c r="AU523" s="3" t="s">
        <v>6703</v>
      </c>
      <c r="AV523" s="3" t="s">
        <v>6704</v>
      </c>
      <c r="AW523" s="3" t="s">
        <v>6705</v>
      </c>
      <c r="AX523" s="3" t="s">
        <v>6705</v>
      </c>
      <c r="AY523" s="3" t="s">
        <v>6706</v>
      </c>
      <c r="AZ523" s="3" t="s">
        <v>75</v>
      </c>
      <c r="BB523" s="3" t="s">
        <v>6707</v>
      </c>
      <c r="BC523" s="3" t="s">
        <v>6708</v>
      </c>
      <c r="BD523" s="3" t="s">
        <v>6709</v>
      </c>
    </row>
    <row r="524" spans="1:56" ht="39" customHeight="1" x14ac:dyDescent="0.25">
      <c r="A524" s="7" t="s">
        <v>58</v>
      </c>
      <c r="B524" s="2" t="s">
        <v>6710</v>
      </c>
      <c r="C524" s="2" t="s">
        <v>6711</v>
      </c>
      <c r="D524" s="2" t="s">
        <v>6712</v>
      </c>
      <c r="F524" s="3" t="s">
        <v>58</v>
      </c>
      <c r="G524" s="3" t="s">
        <v>59</v>
      </c>
      <c r="H524" s="3" t="s">
        <v>58</v>
      </c>
      <c r="I524" s="3" t="s">
        <v>58</v>
      </c>
      <c r="J524" s="3" t="s">
        <v>60</v>
      </c>
      <c r="K524" s="2" t="s">
        <v>6713</v>
      </c>
      <c r="L524" s="2" t="s">
        <v>2571</v>
      </c>
      <c r="M524" s="3" t="s">
        <v>229</v>
      </c>
      <c r="O524" s="3" t="s">
        <v>65</v>
      </c>
      <c r="P524" s="3" t="s">
        <v>186</v>
      </c>
      <c r="Q524" s="2" t="s">
        <v>6714</v>
      </c>
      <c r="R524" s="3" t="s">
        <v>68</v>
      </c>
      <c r="S524" s="4">
        <v>9</v>
      </c>
      <c r="T524" s="4">
        <v>9</v>
      </c>
      <c r="U524" s="5" t="s">
        <v>6715</v>
      </c>
      <c r="V524" s="5" t="s">
        <v>6715</v>
      </c>
      <c r="W524" s="5" t="s">
        <v>6716</v>
      </c>
      <c r="X524" s="5" t="s">
        <v>6716</v>
      </c>
      <c r="Y524" s="4">
        <v>307</v>
      </c>
      <c r="Z524" s="4">
        <v>288</v>
      </c>
      <c r="AA524" s="4">
        <v>295</v>
      </c>
      <c r="AB524" s="4">
        <v>2</v>
      </c>
      <c r="AC524" s="4">
        <v>2</v>
      </c>
      <c r="AD524" s="4">
        <v>26</v>
      </c>
      <c r="AE524" s="4">
        <v>26</v>
      </c>
      <c r="AF524" s="4">
        <v>9</v>
      </c>
      <c r="AG524" s="4">
        <v>9</v>
      </c>
      <c r="AH524" s="4">
        <v>6</v>
      </c>
      <c r="AI524" s="4">
        <v>6</v>
      </c>
      <c r="AJ524" s="4">
        <v>17</v>
      </c>
      <c r="AK524" s="4">
        <v>17</v>
      </c>
      <c r="AL524" s="4">
        <v>1</v>
      </c>
      <c r="AM524" s="4">
        <v>1</v>
      </c>
      <c r="AN524" s="4">
        <v>0</v>
      </c>
      <c r="AO524" s="4">
        <v>0</v>
      </c>
      <c r="AP524" s="3" t="s">
        <v>58</v>
      </c>
      <c r="AQ524" s="3" t="s">
        <v>132</v>
      </c>
      <c r="AR524" s="6" t="str">
        <f>HYPERLINK("http://catalog.hathitrust.org/Record/002457898","HathiTrust Record")</f>
        <v>HathiTrust Record</v>
      </c>
      <c r="AS524" s="6" t="str">
        <f>HYPERLINK("https://creighton-primo.hosted.exlibrisgroup.com/primo-explore/search?tab=default_tab&amp;search_scope=EVERYTHING&amp;vid=01CRU&amp;lang=en_US&amp;offset=0&amp;query=any,contains,991001402669702656","Catalog Record")</f>
        <v>Catalog Record</v>
      </c>
      <c r="AT524" s="6" t="str">
        <f>HYPERLINK("http://www.worldcat.org/oclc/18833450","WorldCat Record")</f>
        <v>WorldCat Record</v>
      </c>
      <c r="AU524" s="3" t="s">
        <v>6717</v>
      </c>
      <c r="AV524" s="3" t="s">
        <v>6718</v>
      </c>
      <c r="AW524" s="3" t="s">
        <v>6719</v>
      </c>
      <c r="AX524" s="3" t="s">
        <v>6719</v>
      </c>
      <c r="AY524" s="3" t="s">
        <v>6720</v>
      </c>
      <c r="AZ524" s="3" t="s">
        <v>75</v>
      </c>
      <c r="BB524" s="3" t="s">
        <v>6721</v>
      </c>
      <c r="BC524" s="3" t="s">
        <v>6722</v>
      </c>
      <c r="BD524" s="3" t="s">
        <v>6723</v>
      </c>
    </row>
    <row r="525" spans="1:56" ht="39" customHeight="1" x14ac:dyDescent="0.25">
      <c r="A525" s="7" t="s">
        <v>58</v>
      </c>
      <c r="B525" s="2" t="s">
        <v>6724</v>
      </c>
      <c r="C525" s="2" t="s">
        <v>6725</v>
      </c>
      <c r="D525" s="2" t="s">
        <v>6726</v>
      </c>
      <c r="F525" s="3" t="s">
        <v>58</v>
      </c>
      <c r="G525" s="3" t="s">
        <v>59</v>
      </c>
      <c r="H525" s="3" t="s">
        <v>58</v>
      </c>
      <c r="I525" s="3" t="s">
        <v>58</v>
      </c>
      <c r="J525" s="3" t="s">
        <v>60</v>
      </c>
      <c r="K525" s="2" t="s">
        <v>6727</v>
      </c>
      <c r="L525" s="2" t="s">
        <v>6728</v>
      </c>
      <c r="M525" s="3" t="s">
        <v>781</v>
      </c>
      <c r="O525" s="3" t="s">
        <v>65</v>
      </c>
      <c r="P525" s="3" t="s">
        <v>186</v>
      </c>
      <c r="Q525" s="2" t="s">
        <v>6729</v>
      </c>
      <c r="R525" s="3" t="s">
        <v>68</v>
      </c>
      <c r="S525" s="4">
        <v>2</v>
      </c>
      <c r="T525" s="4">
        <v>2</v>
      </c>
      <c r="U525" s="5" t="s">
        <v>6730</v>
      </c>
      <c r="V525" s="5" t="s">
        <v>6730</v>
      </c>
      <c r="W525" s="5" t="s">
        <v>6731</v>
      </c>
      <c r="X525" s="5" t="s">
        <v>6731</v>
      </c>
      <c r="Y525" s="4">
        <v>247</v>
      </c>
      <c r="Z525" s="4">
        <v>205</v>
      </c>
      <c r="AA525" s="4">
        <v>212</v>
      </c>
      <c r="AB525" s="4">
        <v>1</v>
      </c>
      <c r="AC525" s="4">
        <v>1</v>
      </c>
      <c r="AD525" s="4">
        <v>5</v>
      </c>
      <c r="AE525" s="4">
        <v>5</v>
      </c>
      <c r="AF525" s="4">
        <v>0</v>
      </c>
      <c r="AG525" s="4">
        <v>0</v>
      </c>
      <c r="AH525" s="4">
        <v>0</v>
      </c>
      <c r="AI525" s="4">
        <v>0</v>
      </c>
      <c r="AJ525" s="4">
        <v>5</v>
      </c>
      <c r="AK525" s="4">
        <v>5</v>
      </c>
      <c r="AL525" s="4">
        <v>0</v>
      </c>
      <c r="AM525" s="4">
        <v>0</v>
      </c>
      <c r="AN525" s="4">
        <v>0</v>
      </c>
      <c r="AO525" s="4">
        <v>0</v>
      </c>
      <c r="AP525" s="3" t="s">
        <v>58</v>
      </c>
      <c r="AQ525" s="3" t="s">
        <v>132</v>
      </c>
      <c r="AR525" s="6" t="str">
        <f>HYPERLINK("http://catalog.hathitrust.org/Record/000813062","HathiTrust Record")</f>
        <v>HathiTrust Record</v>
      </c>
      <c r="AS525" s="6" t="str">
        <f>HYPERLINK("https://creighton-primo.hosted.exlibrisgroup.com/primo-explore/search?tab=default_tab&amp;search_scope=EVERYTHING&amp;vid=01CRU&amp;lang=en_US&amp;offset=0&amp;query=any,contains,991000502759702656","Catalog Record")</f>
        <v>Catalog Record</v>
      </c>
      <c r="AT525" s="6" t="str">
        <f>HYPERLINK("http://www.worldcat.org/oclc/11187546","WorldCat Record")</f>
        <v>WorldCat Record</v>
      </c>
      <c r="AU525" s="3" t="s">
        <v>6732</v>
      </c>
      <c r="AV525" s="3" t="s">
        <v>6733</v>
      </c>
      <c r="AW525" s="3" t="s">
        <v>6734</v>
      </c>
      <c r="AX525" s="3" t="s">
        <v>6734</v>
      </c>
      <c r="AY525" s="3" t="s">
        <v>6735</v>
      </c>
      <c r="AZ525" s="3" t="s">
        <v>75</v>
      </c>
      <c r="BB525" s="3" t="s">
        <v>6736</v>
      </c>
      <c r="BC525" s="3" t="s">
        <v>6737</v>
      </c>
      <c r="BD525" s="3" t="s">
        <v>6738</v>
      </c>
    </row>
    <row r="526" spans="1:56" ht="39" customHeight="1" x14ac:dyDescent="0.25">
      <c r="A526" s="7" t="s">
        <v>58</v>
      </c>
      <c r="B526" s="2" t="s">
        <v>6739</v>
      </c>
      <c r="C526" s="2" t="s">
        <v>6740</v>
      </c>
      <c r="D526" s="2" t="s">
        <v>6741</v>
      </c>
      <c r="F526" s="3" t="s">
        <v>58</v>
      </c>
      <c r="G526" s="3" t="s">
        <v>59</v>
      </c>
      <c r="H526" s="3" t="s">
        <v>58</v>
      </c>
      <c r="I526" s="3" t="s">
        <v>58</v>
      </c>
      <c r="J526" s="3" t="s">
        <v>60</v>
      </c>
      <c r="L526" s="2" t="s">
        <v>6742</v>
      </c>
      <c r="M526" s="3" t="s">
        <v>709</v>
      </c>
      <c r="O526" s="3" t="s">
        <v>65</v>
      </c>
      <c r="P526" s="3" t="s">
        <v>230</v>
      </c>
      <c r="Q526" s="2" t="s">
        <v>6743</v>
      </c>
      <c r="R526" s="3" t="s">
        <v>68</v>
      </c>
      <c r="S526" s="4">
        <v>9</v>
      </c>
      <c r="T526" s="4">
        <v>9</v>
      </c>
      <c r="U526" s="5" t="s">
        <v>6744</v>
      </c>
      <c r="V526" s="5" t="s">
        <v>6744</v>
      </c>
      <c r="W526" s="5" t="s">
        <v>6745</v>
      </c>
      <c r="X526" s="5" t="s">
        <v>6745</v>
      </c>
      <c r="Y526" s="4">
        <v>252</v>
      </c>
      <c r="Z526" s="4">
        <v>197</v>
      </c>
      <c r="AA526" s="4">
        <v>197</v>
      </c>
      <c r="AB526" s="4">
        <v>1</v>
      </c>
      <c r="AC526" s="4">
        <v>1</v>
      </c>
      <c r="AD526" s="4">
        <v>17</v>
      </c>
      <c r="AE526" s="4">
        <v>17</v>
      </c>
      <c r="AF526" s="4">
        <v>7</v>
      </c>
      <c r="AG526" s="4">
        <v>7</v>
      </c>
      <c r="AH526" s="4">
        <v>3</v>
      </c>
      <c r="AI526" s="4">
        <v>3</v>
      </c>
      <c r="AJ526" s="4">
        <v>10</v>
      </c>
      <c r="AK526" s="4">
        <v>10</v>
      </c>
      <c r="AL526" s="4">
        <v>0</v>
      </c>
      <c r="AM526" s="4">
        <v>0</v>
      </c>
      <c r="AN526" s="4">
        <v>0</v>
      </c>
      <c r="AO526" s="4">
        <v>0</v>
      </c>
      <c r="AP526" s="3" t="s">
        <v>58</v>
      </c>
      <c r="AQ526" s="3" t="s">
        <v>58</v>
      </c>
      <c r="AS526" s="6" t="str">
        <f>HYPERLINK("https://creighton-primo.hosted.exlibrisgroup.com/primo-explore/search?tab=default_tab&amp;search_scope=EVERYTHING&amp;vid=01CRU&amp;lang=en_US&amp;offset=0&amp;query=any,contains,991001794199702656","Catalog Record")</f>
        <v>Catalog Record</v>
      </c>
      <c r="AT526" s="6" t="str">
        <f>HYPERLINK("http://www.worldcat.org/oclc/22593022","WorldCat Record")</f>
        <v>WorldCat Record</v>
      </c>
      <c r="AU526" s="3" t="s">
        <v>6746</v>
      </c>
      <c r="AV526" s="3" t="s">
        <v>6747</v>
      </c>
      <c r="AW526" s="3" t="s">
        <v>6748</v>
      </c>
      <c r="AX526" s="3" t="s">
        <v>6748</v>
      </c>
      <c r="AY526" s="3" t="s">
        <v>6749</v>
      </c>
      <c r="AZ526" s="3" t="s">
        <v>75</v>
      </c>
      <c r="BB526" s="3" t="s">
        <v>6750</v>
      </c>
      <c r="BC526" s="3" t="s">
        <v>6751</v>
      </c>
      <c r="BD526" s="3" t="s">
        <v>6752</v>
      </c>
    </row>
    <row r="527" spans="1:56" ht="39" customHeight="1" x14ac:dyDescent="0.25">
      <c r="A527" s="7" t="s">
        <v>58</v>
      </c>
      <c r="B527" s="2" t="s">
        <v>6753</v>
      </c>
      <c r="C527" s="2" t="s">
        <v>6754</v>
      </c>
      <c r="D527" s="2" t="s">
        <v>6755</v>
      </c>
      <c r="F527" s="3" t="s">
        <v>58</v>
      </c>
      <c r="G527" s="3" t="s">
        <v>59</v>
      </c>
      <c r="H527" s="3" t="s">
        <v>58</v>
      </c>
      <c r="I527" s="3" t="s">
        <v>58</v>
      </c>
      <c r="J527" s="3" t="s">
        <v>60</v>
      </c>
      <c r="L527" s="2" t="s">
        <v>6756</v>
      </c>
      <c r="M527" s="3" t="s">
        <v>709</v>
      </c>
      <c r="O527" s="3" t="s">
        <v>65</v>
      </c>
      <c r="P527" s="3" t="s">
        <v>346</v>
      </c>
      <c r="R527" s="3" t="s">
        <v>68</v>
      </c>
      <c r="S527" s="4">
        <v>4</v>
      </c>
      <c r="T527" s="4">
        <v>4</v>
      </c>
      <c r="U527" s="5" t="s">
        <v>6757</v>
      </c>
      <c r="V527" s="5" t="s">
        <v>6757</v>
      </c>
      <c r="W527" s="5" t="s">
        <v>6507</v>
      </c>
      <c r="X527" s="5" t="s">
        <v>6507</v>
      </c>
      <c r="Y527" s="4">
        <v>327</v>
      </c>
      <c r="Z527" s="4">
        <v>266</v>
      </c>
      <c r="AA527" s="4">
        <v>283</v>
      </c>
      <c r="AB527" s="4">
        <v>3</v>
      </c>
      <c r="AC527" s="4">
        <v>4</v>
      </c>
      <c r="AD527" s="4">
        <v>22</v>
      </c>
      <c r="AE527" s="4">
        <v>23</v>
      </c>
      <c r="AF527" s="4">
        <v>11</v>
      </c>
      <c r="AG527" s="4">
        <v>11</v>
      </c>
      <c r="AH527" s="4">
        <v>4</v>
      </c>
      <c r="AI527" s="4">
        <v>4</v>
      </c>
      <c r="AJ527" s="4">
        <v>13</v>
      </c>
      <c r="AK527" s="4">
        <v>13</v>
      </c>
      <c r="AL527" s="4">
        <v>1</v>
      </c>
      <c r="AM527" s="4">
        <v>2</v>
      </c>
      <c r="AN527" s="4">
        <v>0</v>
      </c>
      <c r="AO527" s="4">
        <v>0</v>
      </c>
      <c r="AP527" s="3" t="s">
        <v>58</v>
      </c>
      <c r="AQ527" s="3" t="s">
        <v>58</v>
      </c>
      <c r="AS527" s="6" t="str">
        <f>HYPERLINK("https://creighton-primo.hosted.exlibrisgroup.com/primo-explore/search?tab=default_tab&amp;search_scope=EVERYTHING&amp;vid=01CRU&amp;lang=en_US&amp;offset=0&amp;query=any,contains,991003565969702656","Catalog Record")</f>
        <v>Catalog Record</v>
      </c>
      <c r="AT527" s="6" t="str">
        <f>HYPERLINK("http://www.worldcat.org/oclc/20754475","WorldCat Record")</f>
        <v>WorldCat Record</v>
      </c>
      <c r="AU527" s="3" t="s">
        <v>6758</v>
      </c>
      <c r="AV527" s="3" t="s">
        <v>6759</v>
      </c>
      <c r="AW527" s="3" t="s">
        <v>6760</v>
      </c>
      <c r="AX527" s="3" t="s">
        <v>6760</v>
      </c>
      <c r="AY527" s="3" t="s">
        <v>6761</v>
      </c>
      <c r="AZ527" s="3" t="s">
        <v>75</v>
      </c>
      <c r="BB527" s="3" t="s">
        <v>6762</v>
      </c>
      <c r="BC527" s="3" t="s">
        <v>6763</v>
      </c>
      <c r="BD527" s="3" t="s">
        <v>6764</v>
      </c>
    </row>
    <row r="528" spans="1:56" ht="39" customHeight="1" x14ac:dyDescent="0.25">
      <c r="A528" s="7" t="s">
        <v>58</v>
      </c>
      <c r="B528" s="2" t="s">
        <v>6765</v>
      </c>
      <c r="C528" s="2" t="s">
        <v>6766</v>
      </c>
      <c r="D528" s="2" t="s">
        <v>6767</v>
      </c>
      <c r="F528" s="3" t="s">
        <v>58</v>
      </c>
      <c r="G528" s="3" t="s">
        <v>59</v>
      </c>
      <c r="H528" s="3" t="s">
        <v>58</v>
      </c>
      <c r="I528" s="3" t="s">
        <v>58</v>
      </c>
      <c r="J528" s="3" t="s">
        <v>60</v>
      </c>
      <c r="L528" s="2" t="s">
        <v>6768</v>
      </c>
      <c r="M528" s="3" t="s">
        <v>303</v>
      </c>
      <c r="O528" s="3" t="s">
        <v>65</v>
      </c>
      <c r="P528" s="3" t="s">
        <v>158</v>
      </c>
      <c r="Q528" s="2" t="s">
        <v>6769</v>
      </c>
      <c r="R528" s="3" t="s">
        <v>68</v>
      </c>
      <c r="S528" s="4">
        <v>6</v>
      </c>
      <c r="T528" s="4">
        <v>6</v>
      </c>
      <c r="U528" s="5" t="s">
        <v>6770</v>
      </c>
      <c r="V528" s="5" t="s">
        <v>6770</v>
      </c>
      <c r="W528" s="5" t="s">
        <v>3505</v>
      </c>
      <c r="X528" s="5" t="s">
        <v>3505</v>
      </c>
      <c r="Y528" s="4">
        <v>437</v>
      </c>
      <c r="Z528" s="4">
        <v>356</v>
      </c>
      <c r="AA528" s="4">
        <v>359</v>
      </c>
      <c r="AB528" s="4">
        <v>3</v>
      </c>
      <c r="AC528" s="4">
        <v>3</v>
      </c>
      <c r="AD528" s="4">
        <v>28</v>
      </c>
      <c r="AE528" s="4">
        <v>28</v>
      </c>
      <c r="AF528" s="4">
        <v>8</v>
      </c>
      <c r="AG528" s="4">
        <v>8</v>
      </c>
      <c r="AH528" s="4">
        <v>8</v>
      </c>
      <c r="AI528" s="4">
        <v>8</v>
      </c>
      <c r="AJ528" s="4">
        <v>19</v>
      </c>
      <c r="AK528" s="4">
        <v>19</v>
      </c>
      <c r="AL528" s="4">
        <v>1</v>
      </c>
      <c r="AM528" s="4">
        <v>1</v>
      </c>
      <c r="AN528" s="4">
        <v>0</v>
      </c>
      <c r="AO528" s="4">
        <v>0</v>
      </c>
      <c r="AP528" s="3" t="s">
        <v>58</v>
      </c>
      <c r="AQ528" s="3" t="s">
        <v>132</v>
      </c>
      <c r="AR528" s="6" t="str">
        <f>HYPERLINK("http://catalog.hathitrust.org/Record/000741908","HathiTrust Record")</f>
        <v>HathiTrust Record</v>
      </c>
      <c r="AS528" s="6" t="str">
        <f>HYPERLINK("https://creighton-primo.hosted.exlibrisgroup.com/primo-explore/search?tab=default_tab&amp;search_scope=EVERYTHING&amp;vid=01CRU&amp;lang=en_US&amp;offset=0&amp;query=any,contains,991004087079702656","Catalog Record")</f>
        <v>Catalog Record</v>
      </c>
      <c r="AT528" s="6" t="str">
        <f>HYPERLINK("http://www.worldcat.org/oclc/2332354","WorldCat Record")</f>
        <v>WorldCat Record</v>
      </c>
      <c r="AU528" s="3" t="s">
        <v>6771</v>
      </c>
      <c r="AV528" s="3" t="s">
        <v>6772</v>
      </c>
      <c r="AW528" s="3" t="s">
        <v>6773</v>
      </c>
      <c r="AX528" s="3" t="s">
        <v>6773</v>
      </c>
      <c r="AY528" s="3" t="s">
        <v>6774</v>
      </c>
      <c r="AZ528" s="3" t="s">
        <v>75</v>
      </c>
      <c r="BB528" s="3" t="s">
        <v>6775</v>
      </c>
      <c r="BC528" s="3" t="s">
        <v>6776</v>
      </c>
      <c r="BD528" s="3" t="s">
        <v>6777</v>
      </c>
    </row>
    <row r="529" spans="1:56" ht="39" customHeight="1" x14ac:dyDescent="0.25">
      <c r="A529" s="7" t="s">
        <v>58</v>
      </c>
      <c r="B529" s="2" t="s">
        <v>6778</v>
      </c>
      <c r="C529" s="2" t="s">
        <v>6779</v>
      </c>
      <c r="D529" s="2" t="s">
        <v>6780</v>
      </c>
      <c r="F529" s="3" t="s">
        <v>58</v>
      </c>
      <c r="G529" s="3" t="s">
        <v>59</v>
      </c>
      <c r="H529" s="3" t="s">
        <v>58</v>
      </c>
      <c r="I529" s="3" t="s">
        <v>58</v>
      </c>
      <c r="J529" s="3" t="s">
        <v>60</v>
      </c>
      <c r="L529" s="2" t="s">
        <v>258</v>
      </c>
      <c r="M529" s="3" t="s">
        <v>144</v>
      </c>
      <c r="O529" s="3" t="s">
        <v>65</v>
      </c>
      <c r="P529" s="3" t="s">
        <v>186</v>
      </c>
      <c r="R529" s="3" t="s">
        <v>68</v>
      </c>
      <c r="S529" s="4">
        <v>8</v>
      </c>
      <c r="T529" s="4">
        <v>8</v>
      </c>
      <c r="U529" s="5" t="s">
        <v>6781</v>
      </c>
      <c r="V529" s="5" t="s">
        <v>6781</v>
      </c>
      <c r="W529" s="5" t="s">
        <v>6244</v>
      </c>
      <c r="X529" s="5" t="s">
        <v>6244</v>
      </c>
      <c r="Y529" s="4">
        <v>282</v>
      </c>
      <c r="Z529" s="4">
        <v>241</v>
      </c>
      <c r="AA529" s="4">
        <v>250</v>
      </c>
      <c r="AB529" s="4">
        <v>2</v>
      </c>
      <c r="AC529" s="4">
        <v>2</v>
      </c>
      <c r="AD529" s="4">
        <v>23</v>
      </c>
      <c r="AE529" s="4">
        <v>23</v>
      </c>
      <c r="AF529" s="4">
        <v>5</v>
      </c>
      <c r="AG529" s="4">
        <v>5</v>
      </c>
      <c r="AH529" s="4">
        <v>6</v>
      </c>
      <c r="AI529" s="4">
        <v>6</v>
      </c>
      <c r="AJ529" s="4">
        <v>17</v>
      </c>
      <c r="AK529" s="4">
        <v>17</v>
      </c>
      <c r="AL529" s="4">
        <v>1</v>
      </c>
      <c r="AM529" s="4">
        <v>1</v>
      </c>
      <c r="AN529" s="4">
        <v>0</v>
      </c>
      <c r="AO529" s="4">
        <v>0</v>
      </c>
      <c r="AP529" s="3" t="s">
        <v>58</v>
      </c>
      <c r="AQ529" s="3" t="s">
        <v>58</v>
      </c>
      <c r="AS529" s="6" t="str">
        <f>HYPERLINK("https://creighton-primo.hosted.exlibrisgroup.com/primo-explore/search?tab=default_tab&amp;search_scope=EVERYTHING&amp;vid=01CRU&amp;lang=en_US&amp;offset=0&amp;query=any,contains,991004516909702656","Catalog Record")</f>
        <v>Catalog Record</v>
      </c>
      <c r="AT529" s="6" t="str">
        <f>HYPERLINK("http://www.worldcat.org/oclc/3790347","WorldCat Record")</f>
        <v>WorldCat Record</v>
      </c>
      <c r="AU529" s="3" t="s">
        <v>6782</v>
      </c>
      <c r="AV529" s="3" t="s">
        <v>6783</v>
      </c>
      <c r="AW529" s="3" t="s">
        <v>6784</v>
      </c>
      <c r="AX529" s="3" t="s">
        <v>6784</v>
      </c>
      <c r="AY529" s="3" t="s">
        <v>6785</v>
      </c>
      <c r="AZ529" s="3" t="s">
        <v>75</v>
      </c>
      <c r="BB529" s="3" t="s">
        <v>6786</v>
      </c>
      <c r="BC529" s="3" t="s">
        <v>6787</v>
      </c>
      <c r="BD529" s="3" t="s">
        <v>6788</v>
      </c>
    </row>
    <row r="530" spans="1:56" ht="39" customHeight="1" x14ac:dyDescent="0.25">
      <c r="A530" s="7" t="s">
        <v>58</v>
      </c>
      <c r="B530" s="2" t="s">
        <v>6789</v>
      </c>
      <c r="C530" s="2" t="s">
        <v>6790</v>
      </c>
      <c r="D530" s="2" t="s">
        <v>6791</v>
      </c>
      <c r="F530" s="3" t="s">
        <v>58</v>
      </c>
      <c r="G530" s="3" t="s">
        <v>59</v>
      </c>
      <c r="H530" s="3" t="s">
        <v>58</v>
      </c>
      <c r="I530" s="3" t="s">
        <v>58</v>
      </c>
      <c r="J530" s="3" t="s">
        <v>60</v>
      </c>
      <c r="L530" s="2" t="s">
        <v>6792</v>
      </c>
      <c r="M530" s="3" t="s">
        <v>361</v>
      </c>
      <c r="N530" s="2" t="s">
        <v>476</v>
      </c>
      <c r="O530" s="3" t="s">
        <v>65</v>
      </c>
      <c r="P530" s="3" t="s">
        <v>477</v>
      </c>
      <c r="R530" s="3" t="s">
        <v>68</v>
      </c>
      <c r="S530" s="4">
        <v>5</v>
      </c>
      <c r="T530" s="4">
        <v>5</v>
      </c>
      <c r="U530" s="5" t="s">
        <v>6793</v>
      </c>
      <c r="V530" s="5" t="s">
        <v>6793</v>
      </c>
      <c r="W530" s="5" t="s">
        <v>6244</v>
      </c>
      <c r="X530" s="5" t="s">
        <v>6244</v>
      </c>
      <c r="Y530" s="4">
        <v>345</v>
      </c>
      <c r="Z530" s="4">
        <v>311</v>
      </c>
      <c r="AA530" s="4">
        <v>312</v>
      </c>
      <c r="AB530" s="4">
        <v>3</v>
      </c>
      <c r="AC530" s="4">
        <v>3</v>
      </c>
      <c r="AD530" s="4">
        <v>23</v>
      </c>
      <c r="AE530" s="4">
        <v>23</v>
      </c>
      <c r="AF530" s="4">
        <v>6</v>
      </c>
      <c r="AG530" s="4">
        <v>6</v>
      </c>
      <c r="AH530" s="4">
        <v>5</v>
      </c>
      <c r="AI530" s="4">
        <v>5</v>
      </c>
      <c r="AJ530" s="4">
        <v>18</v>
      </c>
      <c r="AK530" s="4">
        <v>18</v>
      </c>
      <c r="AL530" s="4">
        <v>2</v>
      </c>
      <c r="AM530" s="4">
        <v>2</v>
      </c>
      <c r="AN530" s="4">
        <v>0</v>
      </c>
      <c r="AO530" s="4">
        <v>0</v>
      </c>
      <c r="AP530" s="3" t="s">
        <v>58</v>
      </c>
      <c r="AQ530" s="3" t="s">
        <v>132</v>
      </c>
      <c r="AR530" s="6" t="str">
        <f>HYPERLINK("http://catalog.hathitrust.org/Record/009916530","HathiTrust Record")</f>
        <v>HathiTrust Record</v>
      </c>
      <c r="AS530" s="6" t="str">
        <f>HYPERLINK("https://creighton-primo.hosted.exlibrisgroup.com/primo-explore/search?tab=default_tab&amp;search_scope=EVERYTHING&amp;vid=01CRU&amp;lang=en_US&amp;offset=0&amp;query=any,contains,991000184899702656","Catalog Record")</f>
        <v>Catalog Record</v>
      </c>
      <c r="AT530" s="6" t="str">
        <f>HYPERLINK("http://www.worldcat.org/oclc/9393306","WorldCat Record")</f>
        <v>WorldCat Record</v>
      </c>
      <c r="AU530" s="3" t="s">
        <v>6794</v>
      </c>
      <c r="AV530" s="3" t="s">
        <v>6795</v>
      </c>
      <c r="AW530" s="3" t="s">
        <v>6796</v>
      </c>
      <c r="AX530" s="3" t="s">
        <v>6796</v>
      </c>
      <c r="AY530" s="3" t="s">
        <v>6797</v>
      </c>
      <c r="AZ530" s="3" t="s">
        <v>75</v>
      </c>
      <c r="BB530" s="3" t="s">
        <v>6798</v>
      </c>
      <c r="BC530" s="3" t="s">
        <v>6799</v>
      </c>
      <c r="BD530" s="3" t="s">
        <v>6800</v>
      </c>
    </row>
    <row r="531" spans="1:56" ht="39" customHeight="1" x14ac:dyDescent="0.25">
      <c r="A531" s="7" t="s">
        <v>58</v>
      </c>
      <c r="B531" s="2" t="s">
        <v>6801</v>
      </c>
      <c r="C531" s="2" t="s">
        <v>6802</v>
      </c>
      <c r="D531" s="2" t="s">
        <v>6803</v>
      </c>
      <c r="F531" s="3" t="s">
        <v>58</v>
      </c>
      <c r="G531" s="3" t="s">
        <v>59</v>
      </c>
      <c r="H531" s="3" t="s">
        <v>58</v>
      </c>
      <c r="I531" s="3" t="s">
        <v>58</v>
      </c>
      <c r="J531" s="3" t="s">
        <v>60</v>
      </c>
      <c r="K531" s="2" t="s">
        <v>6804</v>
      </c>
      <c r="L531" s="2" t="s">
        <v>6805</v>
      </c>
      <c r="M531" s="3" t="s">
        <v>4322</v>
      </c>
      <c r="O531" s="3" t="s">
        <v>65</v>
      </c>
      <c r="P531" s="3" t="s">
        <v>492</v>
      </c>
      <c r="R531" s="3" t="s">
        <v>68</v>
      </c>
      <c r="S531" s="4">
        <v>6</v>
      </c>
      <c r="T531" s="4">
        <v>6</v>
      </c>
      <c r="U531" s="5" t="s">
        <v>6806</v>
      </c>
      <c r="V531" s="5" t="s">
        <v>6806</v>
      </c>
      <c r="W531" s="5" t="s">
        <v>131</v>
      </c>
      <c r="X531" s="5" t="s">
        <v>131</v>
      </c>
      <c r="Y531" s="4">
        <v>67</v>
      </c>
      <c r="Z531" s="4">
        <v>63</v>
      </c>
      <c r="AA531" s="4">
        <v>64</v>
      </c>
      <c r="AB531" s="4">
        <v>1</v>
      </c>
      <c r="AC531" s="4">
        <v>1</v>
      </c>
      <c r="AD531" s="4">
        <v>6</v>
      </c>
      <c r="AE531" s="4">
        <v>6</v>
      </c>
      <c r="AF531" s="4">
        <v>1</v>
      </c>
      <c r="AG531" s="4">
        <v>1</v>
      </c>
      <c r="AH531" s="4">
        <v>2</v>
      </c>
      <c r="AI531" s="4">
        <v>2</v>
      </c>
      <c r="AJ531" s="4">
        <v>4</v>
      </c>
      <c r="AK531" s="4">
        <v>4</v>
      </c>
      <c r="AL531" s="4">
        <v>0</v>
      </c>
      <c r="AM531" s="4">
        <v>0</v>
      </c>
      <c r="AN531" s="4">
        <v>0</v>
      </c>
      <c r="AO531" s="4">
        <v>0</v>
      </c>
      <c r="AP531" s="3" t="s">
        <v>58</v>
      </c>
      <c r="AQ531" s="3" t="s">
        <v>58</v>
      </c>
      <c r="AS531" s="6" t="str">
        <f>HYPERLINK("https://creighton-primo.hosted.exlibrisgroup.com/primo-explore/search?tab=default_tab&amp;search_scope=EVERYTHING&amp;vid=01CRU&amp;lang=en_US&amp;offset=0&amp;query=any,contains,991004013159702656","Catalog Record")</f>
        <v>Catalog Record</v>
      </c>
      <c r="AT531" s="6" t="str">
        <f>HYPERLINK("http://www.worldcat.org/oclc/2097421","WorldCat Record")</f>
        <v>WorldCat Record</v>
      </c>
      <c r="AU531" s="3" t="s">
        <v>6807</v>
      </c>
      <c r="AV531" s="3" t="s">
        <v>6808</v>
      </c>
      <c r="AW531" s="3" t="s">
        <v>6809</v>
      </c>
      <c r="AX531" s="3" t="s">
        <v>6809</v>
      </c>
      <c r="AY531" s="3" t="s">
        <v>6810</v>
      </c>
      <c r="AZ531" s="3" t="s">
        <v>75</v>
      </c>
      <c r="BC531" s="3" t="s">
        <v>6811</v>
      </c>
      <c r="BD531" s="3" t="s">
        <v>6812</v>
      </c>
    </row>
    <row r="532" spans="1:56" ht="39" customHeight="1" x14ac:dyDescent="0.25">
      <c r="A532" s="7" t="s">
        <v>58</v>
      </c>
      <c r="B532" s="2" t="s">
        <v>6813</v>
      </c>
      <c r="C532" s="2" t="s">
        <v>6814</v>
      </c>
      <c r="D532" s="2" t="s">
        <v>6815</v>
      </c>
      <c r="F532" s="3" t="s">
        <v>58</v>
      </c>
      <c r="G532" s="3" t="s">
        <v>59</v>
      </c>
      <c r="H532" s="3" t="s">
        <v>58</v>
      </c>
      <c r="I532" s="3" t="s">
        <v>58</v>
      </c>
      <c r="J532" s="3" t="s">
        <v>60</v>
      </c>
      <c r="K532" s="2" t="s">
        <v>6816</v>
      </c>
      <c r="L532" s="2" t="s">
        <v>4119</v>
      </c>
      <c r="M532" s="3" t="s">
        <v>1449</v>
      </c>
      <c r="O532" s="3" t="s">
        <v>65</v>
      </c>
      <c r="P532" s="3" t="s">
        <v>954</v>
      </c>
      <c r="R532" s="3" t="s">
        <v>68</v>
      </c>
      <c r="S532" s="4">
        <v>5</v>
      </c>
      <c r="T532" s="4">
        <v>5</v>
      </c>
      <c r="U532" s="5" t="s">
        <v>6817</v>
      </c>
      <c r="V532" s="5" t="s">
        <v>6817</v>
      </c>
      <c r="W532" s="5" t="s">
        <v>3947</v>
      </c>
      <c r="X532" s="5" t="s">
        <v>3947</v>
      </c>
      <c r="Y532" s="4">
        <v>149</v>
      </c>
      <c r="Z532" s="4">
        <v>138</v>
      </c>
      <c r="AA532" s="4">
        <v>149</v>
      </c>
      <c r="AB532" s="4">
        <v>2</v>
      </c>
      <c r="AC532" s="4">
        <v>2</v>
      </c>
      <c r="AD532" s="4">
        <v>23</v>
      </c>
      <c r="AE532" s="4">
        <v>25</v>
      </c>
      <c r="AF532" s="4">
        <v>8</v>
      </c>
      <c r="AG532" s="4">
        <v>8</v>
      </c>
      <c r="AH532" s="4">
        <v>5</v>
      </c>
      <c r="AI532" s="4">
        <v>6</v>
      </c>
      <c r="AJ532" s="4">
        <v>16</v>
      </c>
      <c r="AK532" s="4">
        <v>18</v>
      </c>
      <c r="AL532" s="4">
        <v>1</v>
      </c>
      <c r="AM532" s="4">
        <v>1</v>
      </c>
      <c r="AN532" s="4">
        <v>0</v>
      </c>
      <c r="AO532" s="4">
        <v>0</v>
      </c>
      <c r="AP532" s="3" t="s">
        <v>58</v>
      </c>
      <c r="AQ532" s="3" t="s">
        <v>58</v>
      </c>
      <c r="AS532" s="6" t="str">
        <f>HYPERLINK("https://creighton-primo.hosted.exlibrisgroup.com/primo-explore/search?tab=default_tab&amp;search_scope=EVERYTHING&amp;vid=01CRU&amp;lang=en_US&amp;offset=0&amp;query=any,contains,991003137779702656","Catalog Record")</f>
        <v>Catalog Record</v>
      </c>
      <c r="AT532" s="6" t="str">
        <f>HYPERLINK("http://www.worldcat.org/oclc/679293","WorldCat Record")</f>
        <v>WorldCat Record</v>
      </c>
      <c r="AU532" s="3" t="s">
        <v>6818</v>
      </c>
      <c r="AV532" s="3" t="s">
        <v>6819</v>
      </c>
      <c r="AW532" s="3" t="s">
        <v>6820</v>
      </c>
      <c r="AX532" s="3" t="s">
        <v>6820</v>
      </c>
      <c r="AY532" s="3" t="s">
        <v>6821</v>
      </c>
      <c r="AZ532" s="3" t="s">
        <v>75</v>
      </c>
      <c r="BC532" s="3" t="s">
        <v>6822</v>
      </c>
      <c r="BD532" s="3" t="s">
        <v>6823</v>
      </c>
    </row>
    <row r="533" spans="1:56" ht="39" customHeight="1" x14ac:dyDescent="0.25">
      <c r="A533" s="7" t="s">
        <v>58</v>
      </c>
      <c r="B533" s="2" t="s">
        <v>6824</v>
      </c>
      <c r="C533" s="2" t="s">
        <v>6825</v>
      </c>
      <c r="D533" s="2" t="s">
        <v>6826</v>
      </c>
      <c r="F533" s="3" t="s">
        <v>58</v>
      </c>
      <c r="G533" s="3" t="s">
        <v>59</v>
      </c>
      <c r="H533" s="3" t="s">
        <v>58</v>
      </c>
      <c r="I533" s="3" t="s">
        <v>58</v>
      </c>
      <c r="J533" s="3" t="s">
        <v>60</v>
      </c>
      <c r="L533" s="2" t="s">
        <v>5187</v>
      </c>
      <c r="M533" s="3" t="s">
        <v>289</v>
      </c>
      <c r="O533" s="3" t="s">
        <v>65</v>
      </c>
      <c r="P533" s="3" t="s">
        <v>186</v>
      </c>
      <c r="Q533" s="2" t="s">
        <v>6827</v>
      </c>
      <c r="R533" s="3" t="s">
        <v>68</v>
      </c>
      <c r="S533" s="4">
        <v>5</v>
      </c>
      <c r="T533" s="4">
        <v>5</v>
      </c>
      <c r="U533" s="5" t="s">
        <v>6828</v>
      </c>
      <c r="V533" s="5" t="s">
        <v>6828</v>
      </c>
      <c r="W533" s="5" t="s">
        <v>70</v>
      </c>
      <c r="X533" s="5" t="s">
        <v>70</v>
      </c>
      <c r="Y533" s="4">
        <v>197</v>
      </c>
      <c r="Z533" s="4">
        <v>175</v>
      </c>
      <c r="AA533" s="4">
        <v>190</v>
      </c>
      <c r="AB533" s="4">
        <v>1</v>
      </c>
      <c r="AC533" s="4">
        <v>1</v>
      </c>
      <c r="AD533" s="4">
        <v>13</v>
      </c>
      <c r="AE533" s="4">
        <v>14</v>
      </c>
      <c r="AF533" s="4">
        <v>6</v>
      </c>
      <c r="AG533" s="4">
        <v>6</v>
      </c>
      <c r="AH533" s="4">
        <v>3</v>
      </c>
      <c r="AI533" s="4">
        <v>3</v>
      </c>
      <c r="AJ533" s="4">
        <v>9</v>
      </c>
      <c r="AK533" s="4">
        <v>10</v>
      </c>
      <c r="AL533" s="4">
        <v>0</v>
      </c>
      <c r="AM533" s="4">
        <v>0</v>
      </c>
      <c r="AN533" s="4">
        <v>0</v>
      </c>
      <c r="AO533" s="4">
        <v>0</v>
      </c>
      <c r="AP533" s="3" t="s">
        <v>58</v>
      </c>
      <c r="AQ533" s="3" t="s">
        <v>132</v>
      </c>
      <c r="AR533" s="6" t="str">
        <f>HYPERLINK("http://catalog.hathitrust.org/Record/007108080","HathiTrust Record")</f>
        <v>HathiTrust Record</v>
      </c>
      <c r="AS533" s="6" t="str">
        <f>HYPERLINK("https://creighton-primo.hosted.exlibrisgroup.com/primo-explore/search?tab=default_tab&amp;search_scope=EVERYTHING&amp;vid=01CRU&amp;lang=en_US&amp;offset=0&amp;query=any,contains,991005221419702656","Catalog Record")</f>
        <v>Catalog Record</v>
      </c>
      <c r="AT533" s="6" t="str">
        <f>HYPERLINK("http://www.worldcat.org/oclc/8224391","WorldCat Record")</f>
        <v>WorldCat Record</v>
      </c>
      <c r="AU533" s="3" t="s">
        <v>6829</v>
      </c>
      <c r="AV533" s="3" t="s">
        <v>6830</v>
      </c>
      <c r="AW533" s="3" t="s">
        <v>6831</v>
      </c>
      <c r="AX533" s="3" t="s">
        <v>6831</v>
      </c>
      <c r="AY533" s="3" t="s">
        <v>6832</v>
      </c>
      <c r="AZ533" s="3" t="s">
        <v>75</v>
      </c>
      <c r="BB533" s="3" t="s">
        <v>6833</v>
      </c>
      <c r="BC533" s="3" t="s">
        <v>6834</v>
      </c>
      <c r="BD533" s="3" t="s">
        <v>6835</v>
      </c>
    </row>
    <row r="534" spans="1:56" ht="39" customHeight="1" x14ac:dyDescent="0.25">
      <c r="A534" s="7" t="s">
        <v>58</v>
      </c>
      <c r="B534" s="2" t="s">
        <v>6836</v>
      </c>
      <c r="C534" s="2" t="s">
        <v>6837</v>
      </c>
      <c r="D534" s="2" t="s">
        <v>6838</v>
      </c>
      <c r="F534" s="3" t="s">
        <v>58</v>
      </c>
      <c r="G534" s="3" t="s">
        <v>59</v>
      </c>
      <c r="H534" s="3" t="s">
        <v>58</v>
      </c>
      <c r="I534" s="3" t="s">
        <v>58</v>
      </c>
      <c r="J534" s="3" t="s">
        <v>60</v>
      </c>
      <c r="K534" s="2" t="s">
        <v>6839</v>
      </c>
      <c r="L534" s="2" t="s">
        <v>6840</v>
      </c>
      <c r="M534" s="3" t="s">
        <v>415</v>
      </c>
      <c r="O534" s="3" t="s">
        <v>65</v>
      </c>
      <c r="P534" s="3" t="s">
        <v>245</v>
      </c>
      <c r="Q534" s="2" t="s">
        <v>6841</v>
      </c>
      <c r="R534" s="3" t="s">
        <v>68</v>
      </c>
      <c r="S534" s="4">
        <v>1</v>
      </c>
      <c r="T534" s="4">
        <v>1</v>
      </c>
      <c r="U534" s="5" t="s">
        <v>6842</v>
      </c>
      <c r="V534" s="5" t="s">
        <v>6842</v>
      </c>
      <c r="W534" s="5" t="s">
        <v>6843</v>
      </c>
      <c r="X534" s="5" t="s">
        <v>6843</v>
      </c>
      <c r="Y534" s="4">
        <v>683</v>
      </c>
      <c r="Z534" s="4">
        <v>595</v>
      </c>
      <c r="AA534" s="4">
        <v>722</v>
      </c>
      <c r="AB534" s="4">
        <v>3</v>
      </c>
      <c r="AC534" s="4">
        <v>4</v>
      </c>
      <c r="AD534" s="4">
        <v>28</v>
      </c>
      <c r="AE534" s="4">
        <v>35</v>
      </c>
      <c r="AF534" s="4">
        <v>10</v>
      </c>
      <c r="AG534" s="4">
        <v>13</v>
      </c>
      <c r="AH534" s="4">
        <v>7</v>
      </c>
      <c r="AI534" s="4">
        <v>9</v>
      </c>
      <c r="AJ534" s="4">
        <v>17</v>
      </c>
      <c r="AK534" s="4">
        <v>19</v>
      </c>
      <c r="AL534" s="4">
        <v>2</v>
      </c>
      <c r="AM534" s="4">
        <v>3</v>
      </c>
      <c r="AN534" s="4">
        <v>0</v>
      </c>
      <c r="AO534" s="4">
        <v>0</v>
      </c>
      <c r="AP534" s="3" t="s">
        <v>58</v>
      </c>
      <c r="AQ534" s="3" t="s">
        <v>132</v>
      </c>
      <c r="AR534" s="6" t="str">
        <f>HYPERLINK("http://catalog.hathitrust.org/Record/001414729","HathiTrust Record")</f>
        <v>HathiTrust Record</v>
      </c>
      <c r="AS534" s="6" t="str">
        <f>HYPERLINK("https://creighton-primo.hosted.exlibrisgroup.com/primo-explore/search?tab=default_tab&amp;search_scope=EVERYTHING&amp;vid=01CRU&amp;lang=en_US&amp;offset=0&amp;query=any,contains,991003572629702656","Catalog Record")</f>
        <v>Catalog Record</v>
      </c>
      <c r="AT534" s="6" t="str">
        <f>HYPERLINK("http://www.worldcat.org/oclc/1148294","WorldCat Record")</f>
        <v>WorldCat Record</v>
      </c>
      <c r="AU534" s="3" t="s">
        <v>6844</v>
      </c>
      <c r="AV534" s="3" t="s">
        <v>6845</v>
      </c>
      <c r="AW534" s="3" t="s">
        <v>6846</v>
      </c>
      <c r="AX534" s="3" t="s">
        <v>6846</v>
      </c>
      <c r="AY534" s="3" t="s">
        <v>6847</v>
      </c>
      <c r="AZ534" s="3" t="s">
        <v>75</v>
      </c>
      <c r="BC534" s="3" t="s">
        <v>6848</v>
      </c>
      <c r="BD534" s="3" t="s">
        <v>6849</v>
      </c>
    </row>
    <row r="535" spans="1:56" ht="39" customHeight="1" x14ac:dyDescent="0.25">
      <c r="A535" s="7" t="s">
        <v>58</v>
      </c>
      <c r="B535" s="2" t="s">
        <v>6850</v>
      </c>
      <c r="C535" s="2" t="s">
        <v>6851</v>
      </c>
      <c r="D535" s="2" t="s">
        <v>6852</v>
      </c>
      <c r="F535" s="3" t="s">
        <v>58</v>
      </c>
      <c r="G535" s="3" t="s">
        <v>59</v>
      </c>
      <c r="H535" s="3" t="s">
        <v>58</v>
      </c>
      <c r="I535" s="3" t="s">
        <v>58</v>
      </c>
      <c r="J535" s="3" t="s">
        <v>60</v>
      </c>
      <c r="L535" s="2" t="s">
        <v>6853</v>
      </c>
      <c r="M535" s="3" t="s">
        <v>2119</v>
      </c>
      <c r="N535" s="2" t="s">
        <v>6854</v>
      </c>
      <c r="O535" s="3" t="s">
        <v>65</v>
      </c>
      <c r="P535" s="3" t="s">
        <v>492</v>
      </c>
      <c r="R535" s="3" t="s">
        <v>68</v>
      </c>
      <c r="S535" s="4">
        <v>2</v>
      </c>
      <c r="T535" s="4">
        <v>2</v>
      </c>
      <c r="U535" s="5" t="s">
        <v>6855</v>
      </c>
      <c r="V535" s="5" t="s">
        <v>6855</v>
      </c>
      <c r="W535" s="5" t="s">
        <v>6244</v>
      </c>
      <c r="X535" s="5" t="s">
        <v>6244</v>
      </c>
      <c r="Y535" s="4">
        <v>40</v>
      </c>
      <c r="Z535" s="4">
        <v>38</v>
      </c>
      <c r="AA535" s="4">
        <v>137</v>
      </c>
      <c r="AB535" s="4">
        <v>1</v>
      </c>
      <c r="AC535" s="4">
        <v>3</v>
      </c>
      <c r="AD535" s="4">
        <v>6</v>
      </c>
      <c r="AE535" s="4">
        <v>20</v>
      </c>
      <c r="AF535" s="4">
        <v>1</v>
      </c>
      <c r="AG535" s="4">
        <v>5</v>
      </c>
      <c r="AH535" s="4">
        <v>2</v>
      </c>
      <c r="AI535" s="4">
        <v>8</v>
      </c>
      <c r="AJ535" s="4">
        <v>6</v>
      </c>
      <c r="AK535" s="4">
        <v>15</v>
      </c>
      <c r="AL535" s="4">
        <v>0</v>
      </c>
      <c r="AM535" s="4">
        <v>0</v>
      </c>
      <c r="AN535" s="4">
        <v>0</v>
      </c>
      <c r="AO535" s="4">
        <v>0</v>
      </c>
      <c r="AP535" s="3" t="s">
        <v>58</v>
      </c>
      <c r="AQ535" s="3" t="s">
        <v>132</v>
      </c>
      <c r="AR535" s="6" t="str">
        <f>HYPERLINK("http://catalog.hathitrust.org/Record/005775093","HathiTrust Record")</f>
        <v>HathiTrust Record</v>
      </c>
      <c r="AS535" s="6" t="str">
        <f>HYPERLINK("https://creighton-primo.hosted.exlibrisgroup.com/primo-explore/search?tab=default_tab&amp;search_scope=EVERYTHING&amp;vid=01CRU&amp;lang=en_US&amp;offset=0&amp;query=any,contains,991004367419702656","Catalog Record")</f>
        <v>Catalog Record</v>
      </c>
      <c r="AT535" s="6" t="str">
        <f>HYPERLINK("http://www.worldcat.org/oclc/3174936","WorldCat Record")</f>
        <v>WorldCat Record</v>
      </c>
      <c r="AU535" s="3" t="s">
        <v>6856</v>
      </c>
      <c r="AV535" s="3" t="s">
        <v>6857</v>
      </c>
      <c r="AW535" s="3" t="s">
        <v>6858</v>
      </c>
      <c r="AX535" s="3" t="s">
        <v>6858</v>
      </c>
      <c r="AY535" s="3" t="s">
        <v>6859</v>
      </c>
      <c r="AZ535" s="3" t="s">
        <v>75</v>
      </c>
      <c r="BC535" s="3" t="s">
        <v>6860</v>
      </c>
      <c r="BD535" s="3" t="s">
        <v>6861</v>
      </c>
    </row>
    <row r="536" spans="1:56" ht="39" customHeight="1" x14ac:dyDescent="0.25">
      <c r="A536" s="7" t="s">
        <v>58</v>
      </c>
      <c r="B536" s="2" t="s">
        <v>6862</v>
      </c>
      <c r="C536" s="2" t="s">
        <v>6863</v>
      </c>
      <c r="D536" s="2" t="s">
        <v>6864</v>
      </c>
      <c r="F536" s="3" t="s">
        <v>58</v>
      </c>
      <c r="G536" s="3" t="s">
        <v>59</v>
      </c>
      <c r="H536" s="3" t="s">
        <v>58</v>
      </c>
      <c r="I536" s="3" t="s">
        <v>58</v>
      </c>
      <c r="J536" s="3" t="s">
        <v>60</v>
      </c>
      <c r="K536" s="2" t="s">
        <v>6865</v>
      </c>
      <c r="L536" s="2" t="s">
        <v>6866</v>
      </c>
      <c r="M536" s="3" t="s">
        <v>5411</v>
      </c>
      <c r="O536" s="3" t="s">
        <v>65</v>
      </c>
      <c r="P536" s="3" t="s">
        <v>492</v>
      </c>
      <c r="R536" s="3" t="s">
        <v>68</v>
      </c>
      <c r="S536" s="4">
        <v>3</v>
      </c>
      <c r="T536" s="4">
        <v>3</v>
      </c>
      <c r="U536" s="5" t="s">
        <v>6867</v>
      </c>
      <c r="V536" s="5" t="s">
        <v>6867</v>
      </c>
      <c r="W536" s="5" t="s">
        <v>6244</v>
      </c>
      <c r="X536" s="5" t="s">
        <v>6244</v>
      </c>
      <c r="Y536" s="4">
        <v>524</v>
      </c>
      <c r="Z536" s="4">
        <v>499</v>
      </c>
      <c r="AA536" s="4">
        <v>591</v>
      </c>
      <c r="AB536" s="4">
        <v>5</v>
      </c>
      <c r="AC536" s="4">
        <v>6</v>
      </c>
      <c r="AD536" s="4">
        <v>35</v>
      </c>
      <c r="AE536" s="4">
        <v>35</v>
      </c>
      <c r="AF536" s="4">
        <v>14</v>
      </c>
      <c r="AG536" s="4">
        <v>14</v>
      </c>
      <c r="AH536" s="4">
        <v>8</v>
      </c>
      <c r="AI536" s="4">
        <v>8</v>
      </c>
      <c r="AJ536" s="4">
        <v>17</v>
      </c>
      <c r="AK536" s="4">
        <v>17</v>
      </c>
      <c r="AL536" s="4">
        <v>4</v>
      </c>
      <c r="AM536" s="4">
        <v>4</v>
      </c>
      <c r="AN536" s="4">
        <v>0</v>
      </c>
      <c r="AO536" s="4">
        <v>0</v>
      </c>
      <c r="AP536" s="3" t="s">
        <v>132</v>
      </c>
      <c r="AQ536" s="3" t="s">
        <v>58</v>
      </c>
      <c r="AR536" s="6" t="str">
        <f>HYPERLINK("http://catalog.hathitrust.org/Record/005775849","HathiTrust Record")</f>
        <v>HathiTrust Record</v>
      </c>
      <c r="AS536" s="6" t="str">
        <f>HYPERLINK("https://creighton-primo.hosted.exlibrisgroup.com/primo-explore/search?tab=default_tab&amp;search_scope=EVERYTHING&amp;vid=01CRU&amp;lang=en_US&amp;offset=0&amp;query=any,contains,991003474949702656","Catalog Record")</f>
        <v>Catalog Record</v>
      </c>
      <c r="AT536" s="6" t="str">
        <f>HYPERLINK("http://www.worldcat.org/oclc/1019154","WorldCat Record")</f>
        <v>WorldCat Record</v>
      </c>
      <c r="AU536" s="3" t="s">
        <v>6868</v>
      </c>
      <c r="AV536" s="3" t="s">
        <v>6869</v>
      </c>
      <c r="AW536" s="3" t="s">
        <v>6870</v>
      </c>
      <c r="AX536" s="3" t="s">
        <v>6870</v>
      </c>
      <c r="AY536" s="3" t="s">
        <v>6871</v>
      </c>
      <c r="AZ536" s="3" t="s">
        <v>75</v>
      </c>
      <c r="BC536" s="3" t="s">
        <v>6872</v>
      </c>
      <c r="BD536" s="3" t="s">
        <v>6873</v>
      </c>
    </row>
    <row r="537" spans="1:56" ht="39" customHeight="1" x14ac:dyDescent="0.25">
      <c r="A537" s="7" t="s">
        <v>58</v>
      </c>
      <c r="B537" s="2" t="s">
        <v>6874</v>
      </c>
      <c r="C537" s="2" t="s">
        <v>6875</v>
      </c>
      <c r="D537" s="2" t="s">
        <v>6876</v>
      </c>
      <c r="F537" s="3" t="s">
        <v>58</v>
      </c>
      <c r="G537" s="3" t="s">
        <v>59</v>
      </c>
      <c r="H537" s="3" t="s">
        <v>58</v>
      </c>
      <c r="I537" s="3" t="s">
        <v>58</v>
      </c>
      <c r="J537" s="3" t="s">
        <v>60</v>
      </c>
      <c r="K537" s="2" t="s">
        <v>6877</v>
      </c>
      <c r="L537" s="2" t="s">
        <v>6878</v>
      </c>
      <c r="M537" s="3" t="s">
        <v>759</v>
      </c>
      <c r="O537" s="3" t="s">
        <v>65</v>
      </c>
      <c r="P537" s="3" t="s">
        <v>186</v>
      </c>
      <c r="Q537" s="2" t="s">
        <v>6879</v>
      </c>
      <c r="R537" s="3" t="s">
        <v>68</v>
      </c>
      <c r="S537" s="4">
        <v>1</v>
      </c>
      <c r="T537" s="4">
        <v>1</v>
      </c>
      <c r="U537" s="5" t="s">
        <v>6880</v>
      </c>
      <c r="V537" s="5" t="s">
        <v>6880</v>
      </c>
      <c r="W537" s="5" t="s">
        <v>6881</v>
      </c>
      <c r="X537" s="5" t="s">
        <v>6881</v>
      </c>
      <c r="Y537" s="4">
        <v>404</v>
      </c>
      <c r="Z537" s="4">
        <v>381</v>
      </c>
      <c r="AA537" s="4">
        <v>381</v>
      </c>
      <c r="AB537" s="4">
        <v>2</v>
      </c>
      <c r="AC537" s="4">
        <v>2</v>
      </c>
      <c r="AD537" s="4">
        <v>28</v>
      </c>
      <c r="AE537" s="4">
        <v>28</v>
      </c>
      <c r="AF537" s="4">
        <v>12</v>
      </c>
      <c r="AG537" s="4">
        <v>12</v>
      </c>
      <c r="AH537" s="4">
        <v>5</v>
      </c>
      <c r="AI537" s="4">
        <v>5</v>
      </c>
      <c r="AJ537" s="4">
        <v>17</v>
      </c>
      <c r="AK537" s="4">
        <v>17</v>
      </c>
      <c r="AL537" s="4">
        <v>1</v>
      </c>
      <c r="AM537" s="4">
        <v>1</v>
      </c>
      <c r="AN537" s="4">
        <v>0</v>
      </c>
      <c r="AO537" s="4">
        <v>0</v>
      </c>
      <c r="AP537" s="3" t="s">
        <v>58</v>
      </c>
      <c r="AQ537" s="3" t="s">
        <v>58</v>
      </c>
      <c r="AS537" s="6" t="str">
        <f>HYPERLINK("https://creighton-primo.hosted.exlibrisgroup.com/primo-explore/search?tab=default_tab&amp;search_scope=EVERYTHING&amp;vid=01CRU&amp;lang=en_US&amp;offset=0&amp;query=any,contains,991001254119702656","Catalog Record")</f>
        <v>Catalog Record</v>
      </c>
      <c r="AT537" s="6" t="str">
        <f>HYPERLINK("http://www.worldcat.org/oclc/17726847","WorldCat Record")</f>
        <v>WorldCat Record</v>
      </c>
      <c r="AU537" s="3" t="s">
        <v>6882</v>
      </c>
      <c r="AV537" s="3" t="s">
        <v>6883</v>
      </c>
      <c r="AW537" s="3" t="s">
        <v>6884</v>
      </c>
      <c r="AX537" s="3" t="s">
        <v>6884</v>
      </c>
      <c r="AY537" s="3" t="s">
        <v>6885</v>
      </c>
      <c r="AZ537" s="3" t="s">
        <v>75</v>
      </c>
      <c r="BB537" s="3" t="s">
        <v>6886</v>
      </c>
      <c r="BC537" s="3" t="s">
        <v>6887</v>
      </c>
      <c r="BD537" s="3" t="s">
        <v>6888</v>
      </c>
    </row>
    <row r="538" spans="1:56" ht="39" customHeight="1" x14ac:dyDescent="0.25">
      <c r="A538" s="7" t="s">
        <v>58</v>
      </c>
      <c r="B538" s="2" t="s">
        <v>6889</v>
      </c>
      <c r="C538" s="2" t="s">
        <v>6890</v>
      </c>
      <c r="D538" s="2" t="s">
        <v>6891</v>
      </c>
      <c r="F538" s="3" t="s">
        <v>58</v>
      </c>
      <c r="G538" s="3" t="s">
        <v>59</v>
      </c>
      <c r="H538" s="3" t="s">
        <v>58</v>
      </c>
      <c r="I538" s="3" t="s">
        <v>58</v>
      </c>
      <c r="J538" s="3" t="s">
        <v>60</v>
      </c>
      <c r="K538" s="2" t="s">
        <v>61</v>
      </c>
      <c r="L538" s="2" t="s">
        <v>6892</v>
      </c>
      <c r="M538" s="3" t="s">
        <v>6893</v>
      </c>
      <c r="O538" s="3" t="s">
        <v>65</v>
      </c>
      <c r="P538" s="3" t="s">
        <v>66</v>
      </c>
      <c r="R538" s="3" t="s">
        <v>68</v>
      </c>
      <c r="S538" s="4">
        <v>9</v>
      </c>
      <c r="T538" s="4">
        <v>9</v>
      </c>
      <c r="U538" s="5" t="s">
        <v>6894</v>
      </c>
      <c r="V538" s="5" t="s">
        <v>6894</v>
      </c>
      <c r="W538" s="5" t="s">
        <v>6881</v>
      </c>
      <c r="X538" s="5" t="s">
        <v>6881</v>
      </c>
      <c r="Y538" s="4">
        <v>129</v>
      </c>
      <c r="Z538" s="4">
        <v>96</v>
      </c>
      <c r="AA538" s="4">
        <v>172</v>
      </c>
      <c r="AB538" s="4">
        <v>1</v>
      </c>
      <c r="AC538" s="4">
        <v>1</v>
      </c>
      <c r="AD538" s="4">
        <v>7</v>
      </c>
      <c r="AE538" s="4">
        <v>11</v>
      </c>
      <c r="AF538" s="4">
        <v>3</v>
      </c>
      <c r="AG538" s="4">
        <v>3</v>
      </c>
      <c r="AH538" s="4">
        <v>2</v>
      </c>
      <c r="AI538" s="4">
        <v>4</v>
      </c>
      <c r="AJ538" s="4">
        <v>4</v>
      </c>
      <c r="AK538" s="4">
        <v>7</v>
      </c>
      <c r="AL538" s="4">
        <v>0</v>
      </c>
      <c r="AM538" s="4">
        <v>0</v>
      </c>
      <c r="AN538" s="4">
        <v>0</v>
      </c>
      <c r="AO538" s="4">
        <v>0</v>
      </c>
      <c r="AP538" s="3" t="s">
        <v>58</v>
      </c>
      <c r="AQ538" s="3" t="s">
        <v>58</v>
      </c>
      <c r="AS538" s="6" t="str">
        <f>HYPERLINK("https://creighton-primo.hosted.exlibrisgroup.com/primo-explore/search?tab=default_tab&amp;search_scope=EVERYTHING&amp;vid=01CRU&amp;lang=en_US&amp;offset=0&amp;query=any,contains,991004628679702656","Catalog Record")</f>
        <v>Catalog Record</v>
      </c>
      <c r="AT538" s="6" t="str">
        <f>HYPERLINK("http://www.worldcat.org/oclc/4358647","WorldCat Record")</f>
        <v>WorldCat Record</v>
      </c>
      <c r="AU538" s="3" t="s">
        <v>6895</v>
      </c>
      <c r="AV538" s="3" t="s">
        <v>6896</v>
      </c>
      <c r="AW538" s="3" t="s">
        <v>6897</v>
      </c>
      <c r="AX538" s="3" t="s">
        <v>6897</v>
      </c>
      <c r="AY538" s="3" t="s">
        <v>6898</v>
      </c>
      <c r="AZ538" s="3" t="s">
        <v>75</v>
      </c>
      <c r="BC538" s="3" t="s">
        <v>6899</v>
      </c>
      <c r="BD538" s="3" t="s">
        <v>6900</v>
      </c>
    </row>
    <row r="539" spans="1:56" ht="39" customHeight="1" x14ac:dyDescent="0.25">
      <c r="A539" s="7" t="s">
        <v>58</v>
      </c>
      <c r="B539" s="2" t="s">
        <v>6901</v>
      </c>
      <c r="C539" s="2" t="s">
        <v>6902</v>
      </c>
      <c r="D539" s="2" t="s">
        <v>6903</v>
      </c>
      <c r="F539" s="3" t="s">
        <v>58</v>
      </c>
      <c r="G539" s="3" t="s">
        <v>59</v>
      </c>
      <c r="H539" s="3" t="s">
        <v>58</v>
      </c>
      <c r="I539" s="3" t="s">
        <v>58</v>
      </c>
      <c r="J539" s="3" t="s">
        <v>60</v>
      </c>
      <c r="K539" s="2" t="s">
        <v>61</v>
      </c>
      <c r="L539" s="2" t="s">
        <v>6904</v>
      </c>
      <c r="M539" s="3" t="s">
        <v>2067</v>
      </c>
      <c r="O539" s="3" t="s">
        <v>65</v>
      </c>
      <c r="P539" s="3" t="s">
        <v>492</v>
      </c>
      <c r="Q539" s="2" t="s">
        <v>6905</v>
      </c>
      <c r="R539" s="3" t="s">
        <v>68</v>
      </c>
      <c r="S539" s="4">
        <v>6</v>
      </c>
      <c r="T539" s="4">
        <v>6</v>
      </c>
      <c r="U539" s="5" t="s">
        <v>6906</v>
      </c>
      <c r="V539" s="5" t="s">
        <v>6906</v>
      </c>
      <c r="W539" s="5" t="s">
        <v>6907</v>
      </c>
      <c r="X539" s="5" t="s">
        <v>6907</v>
      </c>
      <c r="Y539" s="4">
        <v>108</v>
      </c>
      <c r="Z539" s="4">
        <v>97</v>
      </c>
      <c r="AA539" s="4">
        <v>255</v>
      </c>
      <c r="AB539" s="4">
        <v>3</v>
      </c>
      <c r="AC539" s="4">
        <v>3</v>
      </c>
      <c r="AD539" s="4">
        <v>4</v>
      </c>
      <c r="AE539" s="4">
        <v>11</v>
      </c>
      <c r="AF539" s="4">
        <v>1</v>
      </c>
      <c r="AG539" s="4">
        <v>3</v>
      </c>
      <c r="AH539" s="4">
        <v>1</v>
      </c>
      <c r="AI539" s="4">
        <v>1</v>
      </c>
      <c r="AJ539" s="4">
        <v>1</v>
      </c>
      <c r="AK539" s="4">
        <v>6</v>
      </c>
      <c r="AL539" s="4">
        <v>1</v>
      </c>
      <c r="AM539" s="4">
        <v>1</v>
      </c>
      <c r="AN539" s="4">
        <v>0</v>
      </c>
      <c r="AO539" s="4">
        <v>0</v>
      </c>
      <c r="AP539" s="3" t="s">
        <v>58</v>
      </c>
      <c r="AQ539" s="3" t="s">
        <v>58</v>
      </c>
      <c r="AS539" s="6" t="str">
        <f>HYPERLINK("https://creighton-primo.hosted.exlibrisgroup.com/primo-explore/search?tab=default_tab&amp;search_scope=EVERYTHING&amp;vid=01CRU&amp;lang=en_US&amp;offset=0&amp;query=any,contains,991004418369702656","Catalog Record")</f>
        <v>Catalog Record</v>
      </c>
      <c r="AT539" s="6" t="str">
        <f>HYPERLINK("http://www.worldcat.org/oclc/3373537","WorldCat Record")</f>
        <v>WorldCat Record</v>
      </c>
      <c r="AU539" s="3" t="s">
        <v>6908</v>
      </c>
      <c r="AV539" s="3" t="s">
        <v>6909</v>
      </c>
      <c r="AW539" s="3" t="s">
        <v>6910</v>
      </c>
      <c r="AX539" s="3" t="s">
        <v>6910</v>
      </c>
      <c r="AY539" s="3" t="s">
        <v>6911</v>
      </c>
      <c r="AZ539" s="3" t="s">
        <v>75</v>
      </c>
      <c r="BC539" s="3" t="s">
        <v>6912</v>
      </c>
      <c r="BD539" s="3" t="s">
        <v>6913</v>
      </c>
    </row>
    <row r="540" spans="1:56" ht="39" customHeight="1" x14ac:dyDescent="0.25">
      <c r="A540" s="7" t="s">
        <v>58</v>
      </c>
      <c r="B540" s="2" t="s">
        <v>6914</v>
      </c>
      <c r="C540" s="2" t="s">
        <v>6915</v>
      </c>
      <c r="D540" s="2" t="s">
        <v>6916</v>
      </c>
      <c r="F540" s="3" t="s">
        <v>58</v>
      </c>
      <c r="G540" s="3" t="s">
        <v>59</v>
      </c>
      <c r="H540" s="3" t="s">
        <v>58</v>
      </c>
      <c r="I540" s="3" t="s">
        <v>58</v>
      </c>
      <c r="J540" s="3" t="s">
        <v>60</v>
      </c>
      <c r="K540" s="2" t="s">
        <v>61</v>
      </c>
      <c r="L540" s="2" t="s">
        <v>6917</v>
      </c>
      <c r="M540" s="3" t="s">
        <v>6918</v>
      </c>
      <c r="O540" s="3" t="s">
        <v>65</v>
      </c>
      <c r="P540" s="3" t="s">
        <v>186</v>
      </c>
      <c r="R540" s="3" t="s">
        <v>68</v>
      </c>
      <c r="S540" s="4">
        <v>4</v>
      </c>
      <c r="T540" s="4">
        <v>4</v>
      </c>
      <c r="U540" s="5" t="s">
        <v>6919</v>
      </c>
      <c r="V540" s="5" t="s">
        <v>6919</v>
      </c>
      <c r="W540" s="5" t="s">
        <v>6881</v>
      </c>
      <c r="X540" s="5" t="s">
        <v>6881</v>
      </c>
      <c r="Y540" s="4">
        <v>217</v>
      </c>
      <c r="Z540" s="4">
        <v>205</v>
      </c>
      <c r="AA540" s="4">
        <v>510</v>
      </c>
      <c r="AB540" s="4">
        <v>2</v>
      </c>
      <c r="AC540" s="4">
        <v>2</v>
      </c>
      <c r="AD540" s="4">
        <v>8</v>
      </c>
      <c r="AE540" s="4">
        <v>23</v>
      </c>
      <c r="AF540" s="4">
        <v>4</v>
      </c>
      <c r="AG540" s="4">
        <v>14</v>
      </c>
      <c r="AH540" s="4">
        <v>2</v>
      </c>
      <c r="AI540" s="4">
        <v>6</v>
      </c>
      <c r="AJ540" s="4">
        <v>4</v>
      </c>
      <c r="AK540" s="4">
        <v>8</v>
      </c>
      <c r="AL540" s="4">
        <v>1</v>
      </c>
      <c r="AM540" s="4">
        <v>1</v>
      </c>
      <c r="AN540" s="4">
        <v>0</v>
      </c>
      <c r="AO540" s="4">
        <v>0</v>
      </c>
      <c r="AP540" s="3" t="s">
        <v>132</v>
      </c>
      <c r="AQ540" s="3" t="s">
        <v>58</v>
      </c>
      <c r="AR540" s="6" t="str">
        <f>HYPERLINK("http://catalog.hathitrust.org/Record/100435505","HathiTrust Record")</f>
        <v>HathiTrust Record</v>
      </c>
      <c r="AS540" s="6" t="str">
        <f>HYPERLINK("https://creighton-primo.hosted.exlibrisgroup.com/primo-explore/search?tab=default_tab&amp;search_scope=EVERYTHING&amp;vid=01CRU&amp;lang=en_US&amp;offset=0&amp;query=any,contains,991003383999702656","Catalog Record")</f>
        <v>Catalog Record</v>
      </c>
      <c r="AT540" s="6" t="str">
        <f>HYPERLINK("http://www.worldcat.org/oclc/921480","WorldCat Record")</f>
        <v>WorldCat Record</v>
      </c>
      <c r="AU540" s="3" t="s">
        <v>6920</v>
      </c>
      <c r="AV540" s="3" t="s">
        <v>6921</v>
      </c>
      <c r="AW540" s="3" t="s">
        <v>6922</v>
      </c>
      <c r="AX540" s="3" t="s">
        <v>6922</v>
      </c>
      <c r="AY540" s="3" t="s">
        <v>6923</v>
      </c>
      <c r="AZ540" s="3" t="s">
        <v>75</v>
      </c>
      <c r="BC540" s="3" t="s">
        <v>6924</v>
      </c>
      <c r="BD540" s="3" t="s">
        <v>6925</v>
      </c>
    </row>
    <row r="541" spans="1:56" ht="39" customHeight="1" x14ac:dyDescent="0.25">
      <c r="A541" s="7" t="s">
        <v>58</v>
      </c>
      <c r="B541" s="2" t="s">
        <v>6926</v>
      </c>
      <c r="C541" s="2" t="s">
        <v>6927</v>
      </c>
      <c r="D541" s="2" t="s">
        <v>6928</v>
      </c>
      <c r="F541" s="3" t="s">
        <v>58</v>
      </c>
      <c r="G541" s="3" t="s">
        <v>59</v>
      </c>
      <c r="H541" s="3" t="s">
        <v>58</v>
      </c>
      <c r="I541" s="3" t="s">
        <v>58</v>
      </c>
      <c r="J541" s="3" t="s">
        <v>60</v>
      </c>
      <c r="K541" s="2" t="s">
        <v>61</v>
      </c>
      <c r="L541" s="2" t="s">
        <v>6929</v>
      </c>
      <c r="M541" s="3" t="s">
        <v>389</v>
      </c>
      <c r="O541" s="3" t="s">
        <v>65</v>
      </c>
      <c r="P541" s="3" t="s">
        <v>186</v>
      </c>
      <c r="Q541" s="2" t="s">
        <v>6930</v>
      </c>
      <c r="R541" s="3" t="s">
        <v>68</v>
      </c>
      <c r="S541" s="4">
        <v>9</v>
      </c>
      <c r="T541" s="4">
        <v>9</v>
      </c>
      <c r="U541" s="5" t="s">
        <v>6931</v>
      </c>
      <c r="V541" s="5" t="s">
        <v>6931</v>
      </c>
      <c r="W541" s="5" t="s">
        <v>70</v>
      </c>
      <c r="X541" s="5" t="s">
        <v>70</v>
      </c>
      <c r="Y541" s="4">
        <v>273</v>
      </c>
      <c r="Z541" s="4">
        <v>257</v>
      </c>
      <c r="AA541" s="4">
        <v>400</v>
      </c>
      <c r="AB541" s="4">
        <v>3</v>
      </c>
      <c r="AC541" s="4">
        <v>4</v>
      </c>
      <c r="AD541" s="4">
        <v>14</v>
      </c>
      <c r="AE541" s="4">
        <v>21</v>
      </c>
      <c r="AF541" s="4">
        <v>4</v>
      </c>
      <c r="AG541" s="4">
        <v>6</v>
      </c>
      <c r="AH541" s="4">
        <v>4</v>
      </c>
      <c r="AI541" s="4">
        <v>8</v>
      </c>
      <c r="AJ541" s="4">
        <v>7</v>
      </c>
      <c r="AK541" s="4">
        <v>10</v>
      </c>
      <c r="AL541" s="4">
        <v>2</v>
      </c>
      <c r="AM541" s="4">
        <v>3</v>
      </c>
      <c r="AN541" s="4">
        <v>0</v>
      </c>
      <c r="AO541" s="4">
        <v>0</v>
      </c>
      <c r="AP541" s="3" t="s">
        <v>58</v>
      </c>
      <c r="AQ541" s="3" t="s">
        <v>132</v>
      </c>
      <c r="AR541" s="6" t="str">
        <f>HYPERLINK("http://catalog.hathitrust.org/Record/012270949","HathiTrust Record")</f>
        <v>HathiTrust Record</v>
      </c>
      <c r="AS541" s="6" t="str">
        <f>HYPERLINK("https://creighton-primo.hosted.exlibrisgroup.com/primo-explore/search?tab=default_tab&amp;search_scope=EVERYTHING&amp;vid=01CRU&amp;lang=en_US&amp;offset=0&amp;query=any,contains,991002767179702656","Catalog Record")</f>
        <v>Catalog Record</v>
      </c>
      <c r="AT541" s="6" t="str">
        <f>HYPERLINK("http://www.worldcat.org/oclc/384071","WorldCat Record")</f>
        <v>WorldCat Record</v>
      </c>
      <c r="AU541" s="3" t="s">
        <v>6932</v>
      </c>
      <c r="AV541" s="3" t="s">
        <v>6933</v>
      </c>
      <c r="AW541" s="3" t="s">
        <v>6934</v>
      </c>
      <c r="AX541" s="3" t="s">
        <v>6934</v>
      </c>
      <c r="AY541" s="3" t="s">
        <v>6935</v>
      </c>
      <c r="AZ541" s="3" t="s">
        <v>75</v>
      </c>
      <c r="BC541" s="3" t="s">
        <v>6936</v>
      </c>
      <c r="BD541" s="3" t="s">
        <v>6937</v>
      </c>
    </row>
    <row r="542" spans="1:56" ht="39" customHeight="1" x14ac:dyDescent="0.25">
      <c r="A542" s="7" t="s">
        <v>58</v>
      </c>
      <c r="B542" s="2" t="s">
        <v>6938</v>
      </c>
      <c r="C542" s="2" t="s">
        <v>6939</v>
      </c>
      <c r="D542" s="2" t="s">
        <v>6940</v>
      </c>
      <c r="F542" s="3" t="s">
        <v>58</v>
      </c>
      <c r="G542" s="3" t="s">
        <v>59</v>
      </c>
      <c r="H542" s="3" t="s">
        <v>58</v>
      </c>
      <c r="I542" s="3" t="s">
        <v>58</v>
      </c>
      <c r="J542" s="3" t="s">
        <v>60</v>
      </c>
      <c r="K542" s="2" t="s">
        <v>6941</v>
      </c>
      <c r="L542" s="2" t="s">
        <v>6942</v>
      </c>
      <c r="M542" s="3" t="s">
        <v>289</v>
      </c>
      <c r="O542" s="3" t="s">
        <v>65</v>
      </c>
      <c r="P542" s="3" t="s">
        <v>245</v>
      </c>
      <c r="R542" s="3" t="s">
        <v>68</v>
      </c>
      <c r="S542" s="4">
        <v>5</v>
      </c>
      <c r="T542" s="4">
        <v>5</v>
      </c>
      <c r="U542" s="5" t="s">
        <v>6943</v>
      </c>
      <c r="V542" s="5" t="s">
        <v>6943</v>
      </c>
      <c r="W542" s="5" t="s">
        <v>6881</v>
      </c>
      <c r="X542" s="5" t="s">
        <v>6881</v>
      </c>
      <c r="Y542" s="4">
        <v>306</v>
      </c>
      <c r="Z542" s="4">
        <v>269</v>
      </c>
      <c r="AA542" s="4">
        <v>286</v>
      </c>
      <c r="AB542" s="4">
        <v>2</v>
      </c>
      <c r="AC542" s="4">
        <v>3</v>
      </c>
      <c r="AD542" s="4">
        <v>22</v>
      </c>
      <c r="AE542" s="4">
        <v>23</v>
      </c>
      <c r="AF542" s="4">
        <v>7</v>
      </c>
      <c r="AG542" s="4">
        <v>7</v>
      </c>
      <c r="AH542" s="4">
        <v>5</v>
      </c>
      <c r="AI542" s="4">
        <v>5</v>
      </c>
      <c r="AJ542" s="4">
        <v>16</v>
      </c>
      <c r="AK542" s="4">
        <v>16</v>
      </c>
      <c r="AL542" s="4">
        <v>1</v>
      </c>
      <c r="AM542" s="4">
        <v>2</v>
      </c>
      <c r="AN542" s="4">
        <v>0</v>
      </c>
      <c r="AO542" s="4">
        <v>0</v>
      </c>
      <c r="AP542" s="3" t="s">
        <v>58</v>
      </c>
      <c r="AQ542" s="3" t="s">
        <v>132</v>
      </c>
      <c r="AR542" s="6" t="str">
        <f>HYPERLINK("http://catalog.hathitrust.org/Record/000267423","HathiTrust Record")</f>
        <v>HathiTrust Record</v>
      </c>
      <c r="AS542" s="6" t="str">
        <f>HYPERLINK("https://creighton-primo.hosted.exlibrisgroup.com/primo-explore/search?tab=default_tab&amp;search_scope=EVERYTHING&amp;vid=01CRU&amp;lang=en_US&amp;offset=0&amp;query=any,contains,991005107809702656","Catalog Record")</f>
        <v>Catalog Record</v>
      </c>
      <c r="AT542" s="6" t="str">
        <f>HYPERLINK("http://www.worldcat.org/oclc/7364515","WorldCat Record")</f>
        <v>WorldCat Record</v>
      </c>
      <c r="AU542" s="3" t="s">
        <v>6944</v>
      </c>
      <c r="AV542" s="3" t="s">
        <v>6945</v>
      </c>
      <c r="AW542" s="3" t="s">
        <v>6946</v>
      </c>
      <c r="AX542" s="3" t="s">
        <v>6946</v>
      </c>
      <c r="AY542" s="3" t="s">
        <v>6947</v>
      </c>
      <c r="AZ542" s="3" t="s">
        <v>75</v>
      </c>
      <c r="BB542" s="3" t="s">
        <v>6948</v>
      </c>
      <c r="BC542" s="3" t="s">
        <v>6949</v>
      </c>
      <c r="BD542" s="3" t="s">
        <v>6950</v>
      </c>
    </row>
    <row r="543" spans="1:56" ht="39" customHeight="1" x14ac:dyDescent="0.25">
      <c r="A543" s="7" t="s">
        <v>58</v>
      </c>
      <c r="B543" s="2" t="s">
        <v>6951</v>
      </c>
      <c r="C543" s="2" t="s">
        <v>6952</v>
      </c>
      <c r="D543" s="2" t="s">
        <v>6953</v>
      </c>
      <c r="F543" s="3" t="s">
        <v>58</v>
      </c>
      <c r="G543" s="3" t="s">
        <v>59</v>
      </c>
      <c r="H543" s="3" t="s">
        <v>58</v>
      </c>
      <c r="I543" s="3" t="s">
        <v>58</v>
      </c>
      <c r="J543" s="3" t="s">
        <v>60</v>
      </c>
      <c r="K543" s="2" t="s">
        <v>6954</v>
      </c>
      <c r="L543" s="2" t="s">
        <v>6955</v>
      </c>
      <c r="M543" s="3" t="s">
        <v>1150</v>
      </c>
      <c r="O543" s="3" t="s">
        <v>65</v>
      </c>
      <c r="P543" s="3" t="s">
        <v>1345</v>
      </c>
      <c r="R543" s="3" t="s">
        <v>68</v>
      </c>
      <c r="S543" s="4">
        <v>1</v>
      </c>
      <c r="T543" s="4">
        <v>1</v>
      </c>
      <c r="U543" s="5" t="s">
        <v>1317</v>
      </c>
      <c r="V543" s="5" t="s">
        <v>1317</v>
      </c>
      <c r="W543" s="5" t="s">
        <v>6956</v>
      </c>
      <c r="X543" s="5" t="s">
        <v>6956</v>
      </c>
      <c r="Y543" s="4">
        <v>107</v>
      </c>
      <c r="Z543" s="4">
        <v>92</v>
      </c>
      <c r="AA543" s="4">
        <v>97</v>
      </c>
      <c r="AB543" s="4">
        <v>1</v>
      </c>
      <c r="AC543" s="4">
        <v>1</v>
      </c>
      <c r="AD543" s="4">
        <v>12</v>
      </c>
      <c r="AE543" s="4">
        <v>12</v>
      </c>
      <c r="AF543" s="4">
        <v>3</v>
      </c>
      <c r="AG543" s="4">
        <v>3</v>
      </c>
      <c r="AH543" s="4">
        <v>3</v>
      </c>
      <c r="AI543" s="4">
        <v>3</v>
      </c>
      <c r="AJ543" s="4">
        <v>11</v>
      </c>
      <c r="AK543" s="4">
        <v>11</v>
      </c>
      <c r="AL543" s="4">
        <v>0</v>
      </c>
      <c r="AM543" s="4">
        <v>0</v>
      </c>
      <c r="AN543" s="4">
        <v>0</v>
      </c>
      <c r="AO543" s="4">
        <v>0</v>
      </c>
      <c r="AP543" s="3" t="s">
        <v>58</v>
      </c>
      <c r="AQ543" s="3" t="s">
        <v>58</v>
      </c>
      <c r="AS543" s="6" t="str">
        <f>HYPERLINK("https://creighton-primo.hosted.exlibrisgroup.com/primo-explore/search?tab=default_tab&amp;search_scope=EVERYTHING&amp;vid=01CRU&amp;lang=en_US&amp;offset=0&amp;query=any,contains,991002641429702656","Catalog Record")</f>
        <v>Catalog Record</v>
      </c>
      <c r="AT543" s="6" t="str">
        <f>HYPERLINK("http://www.worldcat.org/oclc/34576859","WorldCat Record")</f>
        <v>WorldCat Record</v>
      </c>
      <c r="AU543" s="3" t="s">
        <v>6957</v>
      </c>
      <c r="AV543" s="3" t="s">
        <v>6958</v>
      </c>
      <c r="AW543" s="3" t="s">
        <v>6959</v>
      </c>
      <c r="AX543" s="3" t="s">
        <v>6959</v>
      </c>
      <c r="AY543" s="3" t="s">
        <v>6960</v>
      </c>
      <c r="AZ543" s="3" t="s">
        <v>75</v>
      </c>
      <c r="BB543" s="3" t="s">
        <v>6961</v>
      </c>
      <c r="BC543" s="3" t="s">
        <v>6962</v>
      </c>
      <c r="BD543" s="3" t="s">
        <v>6963</v>
      </c>
    </row>
    <row r="544" spans="1:56" ht="39" customHeight="1" x14ac:dyDescent="0.25">
      <c r="A544" s="7" t="s">
        <v>58</v>
      </c>
      <c r="B544" s="2" t="s">
        <v>6964</v>
      </c>
      <c r="C544" s="2" t="s">
        <v>6965</v>
      </c>
      <c r="D544" s="2" t="s">
        <v>6966</v>
      </c>
      <c r="F544" s="3" t="s">
        <v>58</v>
      </c>
      <c r="G544" s="3" t="s">
        <v>59</v>
      </c>
      <c r="H544" s="3" t="s">
        <v>58</v>
      </c>
      <c r="I544" s="3" t="s">
        <v>58</v>
      </c>
      <c r="J544" s="3" t="s">
        <v>60</v>
      </c>
      <c r="K544" s="2" t="s">
        <v>6967</v>
      </c>
      <c r="L544" s="2" t="s">
        <v>6968</v>
      </c>
      <c r="M544" s="3" t="s">
        <v>389</v>
      </c>
      <c r="O544" s="3" t="s">
        <v>65</v>
      </c>
      <c r="P544" s="3" t="s">
        <v>158</v>
      </c>
      <c r="R544" s="3" t="s">
        <v>68</v>
      </c>
      <c r="S544" s="4">
        <v>1</v>
      </c>
      <c r="T544" s="4">
        <v>1</v>
      </c>
      <c r="U544" s="5" t="s">
        <v>6969</v>
      </c>
      <c r="V544" s="5" t="s">
        <v>6969</v>
      </c>
      <c r="W544" s="5" t="s">
        <v>6969</v>
      </c>
      <c r="X544" s="5" t="s">
        <v>6969</v>
      </c>
      <c r="Y544" s="4">
        <v>232</v>
      </c>
      <c r="Z544" s="4">
        <v>204</v>
      </c>
      <c r="AA544" s="4">
        <v>282</v>
      </c>
      <c r="AB544" s="4">
        <v>1</v>
      </c>
      <c r="AC544" s="4">
        <v>2</v>
      </c>
      <c r="AD544" s="4">
        <v>13</v>
      </c>
      <c r="AE544" s="4">
        <v>16</v>
      </c>
      <c r="AF544" s="4">
        <v>5</v>
      </c>
      <c r="AG544" s="4">
        <v>6</v>
      </c>
      <c r="AH544" s="4">
        <v>3</v>
      </c>
      <c r="AI544" s="4">
        <v>3</v>
      </c>
      <c r="AJ544" s="4">
        <v>6</v>
      </c>
      <c r="AK544" s="4">
        <v>7</v>
      </c>
      <c r="AL544" s="4">
        <v>0</v>
      </c>
      <c r="AM544" s="4">
        <v>1</v>
      </c>
      <c r="AN544" s="4">
        <v>0</v>
      </c>
      <c r="AO544" s="4">
        <v>0</v>
      </c>
      <c r="AP544" s="3" t="s">
        <v>58</v>
      </c>
      <c r="AQ544" s="3" t="s">
        <v>58</v>
      </c>
      <c r="AS544" s="6" t="str">
        <f>HYPERLINK("https://creighton-primo.hosted.exlibrisgroup.com/primo-explore/search?tab=default_tab&amp;search_scope=EVERYTHING&amp;vid=01CRU&amp;lang=en_US&amp;offset=0&amp;query=any,contains,991005261209702656","Catalog Record")</f>
        <v>Catalog Record</v>
      </c>
      <c r="AT544" s="6" t="str">
        <f>HYPERLINK("http://www.worldcat.org/oclc/439360","WorldCat Record")</f>
        <v>WorldCat Record</v>
      </c>
      <c r="AU544" s="3" t="s">
        <v>6970</v>
      </c>
      <c r="AV544" s="3" t="s">
        <v>6971</v>
      </c>
      <c r="AW544" s="3" t="s">
        <v>6972</v>
      </c>
      <c r="AX544" s="3" t="s">
        <v>6972</v>
      </c>
      <c r="AY544" s="3" t="s">
        <v>6973</v>
      </c>
      <c r="AZ544" s="3" t="s">
        <v>75</v>
      </c>
      <c r="BC544" s="3" t="s">
        <v>6974</v>
      </c>
      <c r="BD544" s="3" t="s">
        <v>6975</v>
      </c>
    </row>
    <row r="545" spans="1:56" ht="39" customHeight="1" x14ac:dyDescent="0.25">
      <c r="A545" s="7" t="s">
        <v>58</v>
      </c>
      <c r="B545" s="2" t="s">
        <v>6976</v>
      </c>
      <c r="C545" s="2" t="s">
        <v>6977</v>
      </c>
      <c r="D545" s="2" t="s">
        <v>6978</v>
      </c>
      <c r="F545" s="3" t="s">
        <v>58</v>
      </c>
      <c r="G545" s="3" t="s">
        <v>59</v>
      </c>
      <c r="H545" s="3" t="s">
        <v>58</v>
      </c>
      <c r="I545" s="3" t="s">
        <v>58</v>
      </c>
      <c r="J545" s="3" t="s">
        <v>60</v>
      </c>
      <c r="K545" s="2" t="s">
        <v>6979</v>
      </c>
      <c r="L545" s="2" t="s">
        <v>6980</v>
      </c>
      <c r="M545" s="3" t="s">
        <v>759</v>
      </c>
      <c r="N545" s="2" t="s">
        <v>476</v>
      </c>
      <c r="O545" s="3" t="s">
        <v>65</v>
      </c>
      <c r="P545" s="3" t="s">
        <v>84</v>
      </c>
      <c r="R545" s="3" t="s">
        <v>68</v>
      </c>
      <c r="S545" s="4">
        <v>6</v>
      </c>
      <c r="T545" s="4">
        <v>6</v>
      </c>
      <c r="U545" s="5" t="s">
        <v>6981</v>
      </c>
      <c r="V545" s="5" t="s">
        <v>6981</v>
      </c>
      <c r="W545" s="5" t="s">
        <v>3291</v>
      </c>
      <c r="X545" s="5" t="s">
        <v>3291</v>
      </c>
      <c r="Y545" s="4">
        <v>488</v>
      </c>
      <c r="Z545" s="4">
        <v>418</v>
      </c>
      <c r="AA545" s="4">
        <v>424</v>
      </c>
      <c r="AB545" s="4">
        <v>3</v>
      </c>
      <c r="AC545" s="4">
        <v>3</v>
      </c>
      <c r="AD545" s="4">
        <v>24</v>
      </c>
      <c r="AE545" s="4">
        <v>24</v>
      </c>
      <c r="AF545" s="4">
        <v>10</v>
      </c>
      <c r="AG545" s="4">
        <v>10</v>
      </c>
      <c r="AH545" s="4">
        <v>3</v>
      </c>
      <c r="AI545" s="4">
        <v>3</v>
      </c>
      <c r="AJ545" s="4">
        <v>14</v>
      </c>
      <c r="AK545" s="4">
        <v>14</v>
      </c>
      <c r="AL545" s="4">
        <v>2</v>
      </c>
      <c r="AM545" s="4">
        <v>2</v>
      </c>
      <c r="AN545" s="4">
        <v>0</v>
      </c>
      <c r="AO545" s="4">
        <v>0</v>
      </c>
      <c r="AP545" s="3" t="s">
        <v>58</v>
      </c>
      <c r="AQ545" s="3" t="s">
        <v>58</v>
      </c>
      <c r="AS545" s="6" t="str">
        <f>HYPERLINK("https://creighton-primo.hosted.exlibrisgroup.com/primo-explore/search?tab=default_tab&amp;search_scope=EVERYTHING&amp;vid=01CRU&amp;lang=en_US&amp;offset=0&amp;query=any,contains,991001166719702656","Catalog Record")</f>
        <v>Catalog Record</v>
      </c>
      <c r="AT545" s="6" t="str">
        <f>HYPERLINK("http://www.worldcat.org/oclc/16924174","WorldCat Record")</f>
        <v>WorldCat Record</v>
      </c>
      <c r="AU545" s="3" t="s">
        <v>6982</v>
      </c>
      <c r="AV545" s="3" t="s">
        <v>6983</v>
      </c>
      <c r="AW545" s="3" t="s">
        <v>6984</v>
      </c>
      <c r="AX545" s="3" t="s">
        <v>6984</v>
      </c>
      <c r="AY545" s="3" t="s">
        <v>6985</v>
      </c>
      <c r="AZ545" s="3" t="s">
        <v>75</v>
      </c>
      <c r="BB545" s="3" t="s">
        <v>6986</v>
      </c>
      <c r="BC545" s="3" t="s">
        <v>6987</v>
      </c>
      <c r="BD545" s="3" t="s">
        <v>6988</v>
      </c>
    </row>
    <row r="546" spans="1:56" ht="39" customHeight="1" x14ac:dyDescent="0.25">
      <c r="A546" s="7" t="s">
        <v>58</v>
      </c>
      <c r="B546" s="2" t="s">
        <v>6989</v>
      </c>
      <c r="C546" s="2" t="s">
        <v>6990</v>
      </c>
      <c r="D546" s="2" t="s">
        <v>6991</v>
      </c>
      <c r="F546" s="3" t="s">
        <v>58</v>
      </c>
      <c r="G546" s="3" t="s">
        <v>59</v>
      </c>
      <c r="H546" s="3" t="s">
        <v>58</v>
      </c>
      <c r="I546" s="3" t="s">
        <v>58</v>
      </c>
      <c r="J546" s="3" t="s">
        <v>60</v>
      </c>
      <c r="K546" s="2" t="s">
        <v>6992</v>
      </c>
      <c r="L546" s="2" t="s">
        <v>6993</v>
      </c>
      <c r="M546" s="3" t="s">
        <v>759</v>
      </c>
      <c r="O546" s="3" t="s">
        <v>65</v>
      </c>
      <c r="P546" s="3" t="s">
        <v>66</v>
      </c>
      <c r="R546" s="3" t="s">
        <v>68</v>
      </c>
      <c r="S546" s="4">
        <v>4</v>
      </c>
      <c r="T546" s="4">
        <v>4</v>
      </c>
      <c r="U546" s="5" t="s">
        <v>6781</v>
      </c>
      <c r="V546" s="5" t="s">
        <v>6781</v>
      </c>
      <c r="W546" s="5" t="s">
        <v>6881</v>
      </c>
      <c r="X546" s="5" t="s">
        <v>6881</v>
      </c>
      <c r="Y546" s="4">
        <v>126</v>
      </c>
      <c r="Z546" s="4">
        <v>15</v>
      </c>
      <c r="AA546" s="4">
        <v>221</v>
      </c>
      <c r="AB546" s="4">
        <v>1</v>
      </c>
      <c r="AC546" s="4">
        <v>2</v>
      </c>
      <c r="AD546" s="4">
        <v>2</v>
      </c>
      <c r="AE546" s="4">
        <v>11</v>
      </c>
      <c r="AF546" s="4">
        <v>1</v>
      </c>
      <c r="AG546" s="4">
        <v>2</v>
      </c>
      <c r="AH546" s="4">
        <v>0</v>
      </c>
      <c r="AI546" s="4">
        <v>2</v>
      </c>
      <c r="AJ546" s="4">
        <v>2</v>
      </c>
      <c r="AK546" s="4">
        <v>7</v>
      </c>
      <c r="AL546" s="4">
        <v>0</v>
      </c>
      <c r="AM546" s="4">
        <v>1</v>
      </c>
      <c r="AN546" s="4">
        <v>0</v>
      </c>
      <c r="AO546" s="4">
        <v>0</v>
      </c>
      <c r="AP546" s="3" t="s">
        <v>58</v>
      </c>
      <c r="AQ546" s="3" t="s">
        <v>58</v>
      </c>
      <c r="AS546" s="6" t="str">
        <f>HYPERLINK("https://creighton-primo.hosted.exlibrisgroup.com/primo-explore/search?tab=default_tab&amp;search_scope=EVERYTHING&amp;vid=01CRU&amp;lang=en_US&amp;offset=0&amp;query=any,contains,991001377349702656","Catalog Record")</f>
        <v>Catalog Record</v>
      </c>
      <c r="AT546" s="6" t="str">
        <f>HYPERLINK("http://www.worldcat.org/oclc/18626699","WorldCat Record")</f>
        <v>WorldCat Record</v>
      </c>
      <c r="AU546" s="3" t="s">
        <v>6994</v>
      </c>
      <c r="AV546" s="3" t="s">
        <v>6995</v>
      </c>
      <c r="AW546" s="3" t="s">
        <v>6996</v>
      </c>
      <c r="AX546" s="3" t="s">
        <v>6996</v>
      </c>
      <c r="AY546" s="3" t="s">
        <v>6997</v>
      </c>
      <c r="AZ546" s="3" t="s">
        <v>75</v>
      </c>
      <c r="BB546" s="3" t="s">
        <v>6998</v>
      </c>
      <c r="BC546" s="3" t="s">
        <v>6999</v>
      </c>
      <c r="BD546" s="3" t="s">
        <v>7000</v>
      </c>
    </row>
    <row r="547" spans="1:56" ht="39" customHeight="1" x14ac:dyDescent="0.25">
      <c r="A547" s="7" t="s">
        <v>58</v>
      </c>
      <c r="B547" s="2" t="s">
        <v>7001</v>
      </c>
      <c r="C547" s="2" t="s">
        <v>7002</v>
      </c>
      <c r="D547" s="2" t="s">
        <v>7003</v>
      </c>
      <c r="F547" s="3" t="s">
        <v>58</v>
      </c>
      <c r="G547" s="3" t="s">
        <v>59</v>
      </c>
      <c r="H547" s="3" t="s">
        <v>58</v>
      </c>
      <c r="I547" s="3" t="s">
        <v>58</v>
      </c>
      <c r="J547" s="3" t="s">
        <v>60</v>
      </c>
      <c r="K547" s="2" t="s">
        <v>7004</v>
      </c>
      <c r="L547" s="2" t="s">
        <v>7005</v>
      </c>
      <c r="M547" s="3" t="s">
        <v>215</v>
      </c>
      <c r="N547" s="2" t="s">
        <v>7006</v>
      </c>
      <c r="O547" s="3" t="s">
        <v>65</v>
      </c>
      <c r="P547" s="3" t="s">
        <v>346</v>
      </c>
      <c r="R547" s="3" t="s">
        <v>68</v>
      </c>
      <c r="S547" s="4">
        <v>1</v>
      </c>
      <c r="T547" s="4">
        <v>1</v>
      </c>
      <c r="U547" s="5" t="s">
        <v>7007</v>
      </c>
      <c r="V547" s="5" t="s">
        <v>7007</v>
      </c>
      <c r="W547" s="5" t="s">
        <v>6881</v>
      </c>
      <c r="X547" s="5" t="s">
        <v>6881</v>
      </c>
      <c r="Y547" s="4">
        <v>113</v>
      </c>
      <c r="Z547" s="4">
        <v>98</v>
      </c>
      <c r="AA547" s="4">
        <v>134</v>
      </c>
      <c r="AB547" s="4">
        <v>1</v>
      </c>
      <c r="AC547" s="4">
        <v>2</v>
      </c>
      <c r="AD547" s="4">
        <v>6</v>
      </c>
      <c r="AE547" s="4">
        <v>6</v>
      </c>
      <c r="AF547" s="4">
        <v>1</v>
      </c>
      <c r="AG547" s="4">
        <v>1</v>
      </c>
      <c r="AH547" s="4">
        <v>0</v>
      </c>
      <c r="AI547" s="4">
        <v>0</v>
      </c>
      <c r="AJ547" s="4">
        <v>5</v>
      </c>
      <c r="AK547" s="4">
        <v>5</v>
      </c>
      <c r="AL547" s="4">
        <v>0</v>
      </c>
      <c r="AM547" s="4">
        <v>0</v>
      </c>
      <c r="AN547" s="4">
        <v>0</v>
      </c>
      <c r="AO547" s="4">
        <v>0</v>
      </c>
      <c r="AP547" s="3" t="s">
        <v>58</v>
      </c>
      <c r="AQ547" s="3" t="s">
        <v>58</v>
      </c>
      <c r="AS547" s="6" t="str">
        <f>HYPERLINK("https://creighton-primo.hosted.exlibrisgroup.com/primo-explore/search?tab=default_tab&amp;search_scope=EVERYTHING&amp;vid=01CRU&amp;lang=en_US&amp;offset=0&amp;query=any,contains,991001002539702656","Catalog Record")</f>
        <v>Catalog Record</v>
      </c>
      <c r="AT547" s="6" t="str">
        <f>HYPERLINK("http://www.worldcat.org/oclc/15220989","WorldCat Record")</f>
        <v>WorldCat Record</v>
      </c>
      <c r="AU547" s="3" t="s">
        <v>7008</v>
      </c>
      <c r="AV547" s="3" t="s">
        <v>7009</v>
      </c>
      <c r="AW547" s="3" t="s">
        <v>7010</v>
      </c>
      <c r="AX547" s="3" t="s">
        <v>7010</v>
      </c>
      <c r="AY547" s="3" t="s">
        <v>7011</v>
      </c>
      <c r="AZ547" s="3" t="s">
        <v>75</v>
      </c>
      <c r="BB547" s="3" t="s">
        <v>7012</v>
      </c>
      <c r="BC547" s="3" t="s">
        <v>7013</v>
      </c>
      <c r="BD547" s="3" t="s">
        <v>7014</v>
      </c>
    </row>
    <row r="548" spans="1:56" ht="39" customHeight="1" x14ac:dyDescent="0.25">
      <c r="A548" s="7" t="s">
        <v>58</v>
      </c>
      <c r="B548" s="2" t="s">
        <v>7015</v>
      </c>
      <c r="C548" s="2" t="s">
        <v>7016</v>
      </c>
      <c r="D548" s="2" t="s">
        <v>7017</v>
      </c>
      <c r="F548" s="3" t="s">
        <v>58</v>
      </c>
      <c r="G548" s="3" t="s">
        <v>59</v>
      </c>
      <c r="H548" s="3" t="s">
        <v>58</v>
      </c>
      <c r="I548" s="3" t="s">
        <v>58</v>
      </c>
      <c r="J548" s="3" t="s">
        <v>60</v>
      </c>
      <c r="K548" s="2" t="s">
        <v>7018</v>
      </c>
      <c r="L548" s="2" t="s">
        <v>7019</v>
      </c>
      <c r="M548" s="3" t="s">
        <v>144</v>
      </c>
      <c r="O548" s="3" t="s">
        <v>65</v>
      </c>
      <c r="P548" s="3" t="s">
        <v>571</v>
      </c>
      <c r="Q548" s="2" t="s">
        <v>7020</v>
      </c>
      <c r="R548" s="3" t="s">
        <v>68</v>
      </c>
      <c r="S548" s="4">
        <v>2</v>
      </c>
      <c r="T548" s="4">
        <v>2</v>
      </c>
      <c r="U548" s="5" t="s">
        <v>7021</v>
      </c>
      <c r="V548" s="5" t="s">
        <v>7021</v>
      </c>
      <c r="W548" s="5" t="s">
        <v>7022</v>
      </c>
      <c r="X548" s="5" t="s">
        <v>7022</v>
      </c>
      <c r="Y548" s="4">
        <v>149</v>
      </c>
      <c r="Z548" s="4">
        <v>125</v>
      </c>
      <c r="AA548" s="4">
        <v>147</v>
      </c>
      <c r="AB548" s="4">
        <v>2</v>
      </c>
      <c r="AC548" s="4">
        <v>2</v>
      </c>
      <c r="AD548" s="4">
        <v>11</v>
      </c>
      <c r="AE548" s="4">
        <v>11</v>
      </c>
      <c r="AF548" s="4">
        <v>1</v>
      </c>
      <c r="AG548" s="4">
        <v>1</v>
      </c>
      <c r="AH548" s="4">
        <v>1</v>
      </c>
      <c r="AI548" s="4">
        <v>1</v>
      </c>
      <c r="AJ548" s="4">
        <v>11</v>
      </c>
      <c r="AK548" s="4">
        <v>11</v>
      </c>
      <c r="AL548" s="4">
        <v>0</v>
      </c>
      <c r="AM548" s="4">
        <v>0</v>
      </c>
      <c r="AN548" s="4">
        <v>0</v>
      </c>
      <c r="AO548" s="4">
        <v>0</v>
      </c>
      <c r="AP548" s="3" t="s">
        <v>58</v>
      </c>
      <c r="AQ548" s="3" t="s">
        <v>58</v>
      </c>
      <c r="AS548" s="6" t="str">
        <f>HYPERLINK("https://creighton-primo.hosted.exlibrisgroup.com/primo-explore/search?tab=default_tab&amp;search_scope=EVERYTHING&amp;vid=01CRU&amp;lang=en_US&amp;offset=0&amp;query=any,contains,991004640209702656","Catalog Record")</f>
        <v>Catalog Record</v>
      </c>
      <c r="AT548" s="6" t="str">
        <f>HYPERLINK("http://www.worldcat.org/oclc/4453364","WorldCat Record")</f>
        <v>WorldCat Record</v>
      </c>
      <c r="AU548" s="3" t="s">
        <v>7023</v>
      </c>
      <c r="AV548" s="3" t="s">
        <v>7024</v>
      </c>
      <c r="AW548" s="3" t="s">
        <v>7025</v>
      </c>
      <c r="AX548" s="3" t="s">
        <v>7025</v>
      </c>
      <c r="AY548" s="3" t="s">
        <v>7026</v>
      </c>
      <c r="AZ548" s="3" t="s">
        <v>75</v>
      </c>
      <c r="BB548" s="3" t="s">
        <v>7027</v>
      </c>
      <c r="BC548" s="3" t="s">
        <v>7028</v>
      </c>
      <c r="BD548" s="3" t="s">
        <v>7029</v>
      </c>
    </row>
    <row r="549" spans="1:56" ht="39" customHeight="1" x14ac:dyDescent="0.25">
      <c r="A549" s="7" t="s">
        <v>58</v>
      </c>
      <c r="B549" s="2" t="s">
        <v>7030</v>
      </c>
      <c r="C549" s="2" t="s">
        <v>7031</v>
      </c>
      <c r="D549" s="2" t="s">
        <v>7032</v>
      </c>
      <c r="F549" s="3" t="s">
        <v>58</v>
      </c>
      <c r="G549" s="3" t="s">
        <v>59</v>
      </c>
      <c r="H549" s="3" t="s">
        <v>58</v>
      </c>
      <c r="I549" s="3" t="s">
        <v>58</v>
      </c>
      <c r="J549" s="3" t="s">
        <v>60</v>
      </c>
      <c r="K549" s="2" t="s">
        <v>81</v>
      </c>
      <c r="L549" s="2" t="s">
        <v>7033</v>
      </c>
      <c r="M549" s="3" t="s">
        <v>462</v>
      </c>
      <c r="N549" s="2" t="s">
        <v>476</v>
      </c>
      <c r="O549" s="3" t="s">
        <v>65</v>
      </c>
      <c r="P549" s="3" t="s">
        <v>477</v>
      </c>
      <c r="R549" s="3" t="s">
        <v>68</v>
      </c>
      <c r="S549" s="4">
        <v>4</v>
      </c>
      <c r="T549" s="4">
        <v>4</v>
      </c>
      <c r="U549" s="5" t="s">
        <v>5303</v>
      </c>
      <c r="V549" s="5" t="s">
        <v>5303</v>
      </c>
      <c r="W549" s="5" t="s">
        <v>6881</v>
      </c>
      <c r="X549" s="5" t="s">
        <v>6881</v>
      </c>
      <c r="Y549" s="4">
        <v>370</v>
      </c>
      <c r="Z549" s="4">
        <v>328</v>
      </c>
      <c r="AA549" s="4">
        <v>328</v>
      </c>
      <c r="AB549" s="4">
        <v>2</v>
      </c>
      <c r="AC549" s="4">
        <v>2</v>
      </c>
      <c r="AD549" s="4">
        <v>15</v>
      </c>
      <c r="AE549" s="4">
        <v>15</v>
      </c>
      <c r="AF549" s="4">
        <v>6</v>
      </c>
      <c r="AG549" s="4">
        <v>6</v>
      </c>
      <c r="AH549" s="4">
        <v>3</v>
      </c>
      <c r="AI549" s="4">
        <v>3</v>
      </c>
      <c r="AJ549" s="4">
        <v>10</v>
      </c>
      <c r="AK549" s="4">
        <v>10</v>
      </c>
      <c r="AL549" s="4">
        <v>0</v>
      </c>
      <c r="AM549" s="4">
        <v>0</v>
      </c>
      <c r="AN549" s="4">
        <v>0</v>
      </c>
      <c r="AO549" s="4">
        <v>0</v>
      </c>
      <c r="AP549" s="3" t="s">
        <v>58</v>
      </c>
      <c r="AQ549" s="3" t="s">
        <v>58</v>
      </c>
      <c r="AS549" s="6" t="str">
        <f>HYPERLINK("https://creighton-primo.hosted.exlibrisgroup.com/primo-explore/search?tab=default_tab&amp;search_scope=EVERYTHING&amp;vid=01CRU&amp;lang=en_US&amp;offset=0&amp;query=any,contains,991000320639702656","Catalog Record")</f>
        <v>Catalog Record</v>
      </c>
      <c r="AT549" s="6" t="str">
        <f>HYPERLINK("http://www.worldcat.org/oclc/10146700","WorldCat Record")</f>
        <v>WorldCat Record</v>
      </c>
      <c r="AU549" s="3" t="s">
        <v>7034</v>
      </c>
      <c r="AV549" s="3" t="s">
        <v>7035</v>
      </c>
      <c r="AW549" s="3" t="s">
        <v>7036</v>
      </c>
      <c r="AX549" s="3" t="s">
        <v>7036</v>
      </c>
      <c r="AY549" s="3" t="s">
        <v>7037</v>
      </c>
      <c r="AZ549" s="3" t="s">
        <v>75</v>
      </c>
      <c r="BB549" s="3" t="s">
        <v>7038</v>
      </c>
      <c r="BC549" s="3" t="s">
        <v>7039</v>
      </c>
      <c r="BD549" s="3" t="s">
        <v>7040</v>
      </c>
    </row>
    <row r="550" spans="1:56" ht="39" customHeight="1" x14ac:dyDescent="0.25">
      <c r="A550" s="7" t="s">
        <v>58</v>
      </c>
      <c r="B550" s="2" t="s">
        <v>7041</v>
      </c>
      <c r="C550" s="2" t="s">
        <v>7042</v>
      </c>
      <c r="D550" s="2" t="s">
        <v>7043</v>
      </c>
      <c r="F550" s="3" t="s">
        <v>58</v>
      </c>
      <c r="G550" s="3" t="s">
        <v>59</v>
      </c>
      <c r="H550" s="3" t="s">
        <v>58</v>
      </c>
      <c r="I550" s="3" t="s">
        <v>58</v>
      </c>
      <c r="J550" s="3" t="s">
        <v>60</v>
      </c>
      <c r="L550" s="2" t="s">
        <v>7044</v>
      </c>
      <c r="M550" s="3" t="s">
        <v>157</v>
      </c>
      <c r="O550" s="3" t="s">
        <v>65</v>
      </c>
      <c r="P550" s="3" t="s">
        <v>84</v>
      </c>
      <c r="R550" s="3" t="s">
        <v>68</v>
      </c>
      <c r="S550" s="4">
        <v>2</v>
      </c>
      <c r="T550" s="4">
        <v>2</v>
      </c>
      <c r="U550" s="5" t="s">
        <v>7045</v>
      </c>
      <c r="V550" s="5" t="s">
        <v>7045</v>
      </c>
      <c r="W550" s="5" t="s">
        <v>6881</v>
      </c>
      <c r="X550" s="5" t="s">
        <v>6881</v>
      </c>
      <c r="Y550" s="4">
        <v>167</v>
      </c>
      <c r="Z550" s="4">
        <v>153</v>
      </c>
      <c r="AA550" s="4">
        <v>158</v>
      </c>
      <c r="AB550" s="4">
        <v>1</v>
      </c>
      <c r="AC550" s="4">
        <v>1</v>
      </c>
      <c r="AD550" s="4">
        <v>20</v>
      </c>
      <c r="AE550" s="4">
        <v>20</v>
      </c>
      <c r="AF550" s="4">
        <v>6</v>
      </c>
      <c r="AG550" s="4">
        <v>6</v>
      </c>
      <c r="AH550" s="4">
        <v>6</v>
      </c>
      <c r="AI550" s="4">
        <v>6</v>
      </c>
      <c r="AJ550" s="4">
        <v>15</v>
      </c>
      <c r="AK550" s="4">
        <v>15</v>
      </c>
      <c r="AL550" s="4">
        <v>0</v>
      </c>
      <c r="AM550" s="4">
        <v>0</v>
      </c>
      <c r="AN550" s="4">
        <v>0</v>
      </c>
      <c r="AO550" s="4">
        <v>0</v>
      </c>
      <c r="AP550" s="3" t="s">
        <v>58</v>
      </c>
      <c r="AQ550" s="3" t="s">
        <v>132</v>
      </c>
      <c r="AR550" s="6" t="str">
        <f>HYPERLINK("http://catalog.hathitrust.org/Record/009440557","HathiTrust Record")</f>
        <v>HathiTrust Record</v>
      </c>
      <c r="AS550" s="6" t="str">
        <f>HYPERLINK("https://creighton-primo.hosted.exlibrisgroup.com/primo-explore/search?tab=default_tab&amp;search_scope=EVERYTHING&amp;vid=01CRU&amp;lang=en_US&amp;offset=0&amp;query=any,contains,991000040069702656","Catalog Record")</f>
        <v>Catalog Record</v>
      </c>
      <c r="AT550" s="6" t="str">
        <f>HYPERLINK("http://www.worldcat.org/oclc/8641304","WorldCat Record")</f>
        <v>WorldCat Record</v>
      </c>
      <c r="AU550" s="3" t="s">
        <v>7046</v>
      </c>
      <c r="AV550" s="3" t="s">
        <v>7047</v>
      </c>
      <c r="AW550" s="3" t="s">
        <v>7048</v>
      </c>
      <c r="AX550" s="3" t="s">
        <v>7048</v>
      </c>
      <c r="AY550" s="3" t="s">
        <v>7049</v>
      </c>
      <c r="AZ550" s="3" t="s">
        <v>75</v>
      </c>
      <c r="BC550" s="3" t="s">
        <v>7050</v>
      </c>
      <c r="BD550" s="3" t="s">
        <v>7051</v>
      </c>
    </row>
    <row r="551" spans="1:56" ht="39" customHeight="1" x14ac:dyDescent="0.25">
      <c r="A551" s="7" t="s">
        <v>58</v>
      </c>
      <c r="B551" s="2" t="s">
        <v>7052</v>
      </c>
      <c r="C551" s="2" t="s">
        <v>7053</v>
      </c>
      <c r="D551" s="2" t="s">
        <v>7054</v>
      </c>
      <c r="F551" s="3" t="s">
        <v>58</v>
      </c>
      <c r="G551" s="3" t="s">
        <v>59</v>
      </c>
      <c r="H551" s="3" t="s">
        <v>58</v>
      </c>
      <c r="I551" s="3" t="s">
        <v>58</v>
      </c>
      <c r="J551" s="3" t="s">
        <v>60</v>
      </c>
      <c r="K551" s="2" t="s">
        <v>3880</v>
      </c>
      <c r="L551" s="2" t="s">
        <v>7055</v>
      </c>
      <c r="M551" s="3" t="s">
        <v>157</v>
      </c>
      <c r="O551" s="3" t="s">
        <v>65</v>
      </c>
      <c r="P551" s="3" t="s">
        <v>186</v>
      </c>
      <c r="R551" s="3" t="s">
        <v>68</v>
      </c>
      <c r="S551" s="4">
        <v>3</v>
      </c>
      <c r="T551" s="4">
        <v>3</v>
      </c>
      <c r="U551" s="5" t="s">
        <v>7056</v>
      </c>
      <c r="V551" s="5" t="s">
        <v>7056</v>
      </c>
      <c r="W551" s="5" t="s">
        <v>7057</v>
      </c>
      <c r="X551" s="5" t="s">
        <v>7057</v>
      </c>
      <c r="Y551" s="4">
        <v>178</v>
      </c>
      <c r="Z551" s="4">
        <v>153</v>
      </c>
      <c r="AA551" s="4">
        <v>163</v>
      </c>
      <c r="AB551" s="4">
        <v>1</v>
      </c>
      <c r="AC551" s="4">
        <v>2</v>
      </c>
      <c r="AD551" s="4">
        <v>12</v>
      </c>
      <c r="AE551" s="4">
        <v>13</v>
      </c>
      <c r="AF551" s="4">
        <v>2</v>
      </c>
      <c r="AG551" s="4">
        <v>2</v>
      </c>
      <c r="AH551" s="4">
        <v>6</v>
      </c>
      <c r="AI551" s="4">
        <v>7</v>
      </c>
      <c r="AJ551" s="4">
        <v>7</v>
      </c>
      <c r="AK551" s="4">
        <v>8</v>
      </c>
      <c r="AL551" s="4">
        <v>0</v>
      </c>
      <c r="AM551" s="4">
        <v>0</v>
      </c>
      <c r="AN551" s="4">
        <v>0</v>
      </c>
      <c r="AO551" s="4">
        <v>0</v>
      </c>
      <c r="AP551" s="3" t="s">
        <v>58</v>
      </c>
      <c r="AQ551" s="3" t="s">
        <v>58</v>
      </c>
      <c r="AS551" s="6" t="str">
        <f>HYPERLINK("https://creighton-primo.hosted.exlibrisgroup.com/primo-explore/search?tab=default_tab&amp;search_scope=EVERYTHING&amp;vid=01CRU&amp;lang=en_US&amp;offset=0&amp;query=any,contains,991005180379702656","Catalog Record")</f>
        <v>Catalog Record</v>
      </c>
      <c r="AT551" s="6" t="str">
        <f>HYPERLINK("http://www.worldcat.org/oclc/7945412","WorldCat Record")</f>
        <v>WorldCat Record</v>
      </c>
      <c r="AU551" s="3" t="s">
        <v>7058</v>
      </c>
      <c r="AV551" s="3" t="s">
        <v>7059</v>
      </c>
      <c r="AW551" s="3" t="s">
        <v>7060</v>
      </c>
      <c r="AX551" s="3" t="s">
        <v>7060</v>
      </c>
      <c r="AY551" s="3" t="s">
        <v>7061</v>
      </c>
      <c r="AZ551" s="3" t="s">
        <v>75</v>
      </c>
      <c r="BB551" s="3" t="s">
        <v>7062</v>
      </c>
      <c r="BC551" s="3" t="s">
        <v>7063</v>
      </c>
      <c r="BD551" s="3" t="s">
        <v>7064</v>
      </c>
    </row>
    <row r="552" spans="1:56" ht="39" customHeight="1" x14ac:dyDescent="0.25">
      <c r="A552" s="7" t="s">
        <v>58</v>
      </c>
      <c r="B552" s="2" t="s">
        <v>7065</v>
      </c>
      <c r="C552" s="2" t="s">
        <v>7066</v>
      </c>
      <c r="D552" s="2" t="s">
        <v>7067</v>
      </c>
      <c r="F552" s="3" t="s">
        <v>58</v>
      </c>
      <c r="G552" s="3" t="s">
        <v>59</v>
      </c>
      <c r="H552" s="3" t="s">
        <v>58</v>
      </c>
      <c r="I552" s="3" t="s">
        <v>58</v>
      </c>
      <c r="J552" s="3" t="s">
        <v>60</v>
      </c>
      <c r="K552" s="2" t="s">
        <v>2394</v>
      </c>
      <c r="L552" s="2" t="s">
        <v>7068</v>
      </c>
      <c r="M552" s="3" t="s">
        <v>670</v>
      </c>
      <c r="O552" s="3" t="s">
        <v>65</v>
      </c>
      <c r="P552" s="3" t="s">
        <v>954</v>
      </c>
      <c r="R552" s="3" t="s">
        <v>68</v>
      </c>
      <c r="S552" s="4">
        <v>2</v>
      </c>
      <c r="T552" s="4">
        <v>2</v>
      </c>
      <c r="U552" s="5" t="s">
        <v>2396</v>
      </c>
      <c r="V552" s="5" t="s">
        <v>2396</v>
      </c>
      <c r="W552" s="5" t="s">
        <v>6881</v>
      </c>
      <c r="X552" s="5" t="s">
        <v>6881</v>
      </c>
      <c r="Y552" s="4">
        <v>164</v>
      </c>
      <c r="Z552" s="4">
        <v>151</v>
      </c>
      <c r="AA552" s="4">
        <v>178</v>
      </c>
      <c r="AB552" s="4">
        <v>1</v>
      </c>
      <c r="AC552" s="4">
        <v>2</v>
      </c>
      <c r="AD552" s="4">
        <v>20</v>
      </c>
      <c r="AE552" s="4">
        <v>23</v>
      </c>
      <c r="AF552" s="4">
        <v>4</v>
      </c>
      <c r="AG552" s="4">
        <v>5</v>
      </c>
      <c r="AH552" s="4">
        <v>5</v>
      </c>
      <c r="AI552" s="4">
        <v>5</v>
      </c>
      <c r="AJ552" s="4">
        <v>17</v>
      </c>
      <c r="AK552" s="4">
        <v>20</v>
      </c>
      <c r="AL552" s="4">
        <v>0</v>
      </c>
      <c r="AM552" s="4">
        <v>0</v>
      </c>
      <c r="AN552" s="4">
        <v>0</v>
      </c>
      <c r="AO552" s="4">
        <v>0</v>
      </c>
      <c r="AP552" s="3" t="s">
        <v>58</v>
      </c>
      <c r="AQ552" s="3" t="s">
        <v>58</v>
      </c>
      <c r="AS552" s="6" t="str">
        <f>HYPERLINK("https://creighton-primo.hosted.exlibrisgroup.com/primo-explore/search?tab=default_tab&amp;search_scope=EVERYTHING&amp;vid=01CRU&amp;lang=en_US&amp;offset=0&amp;query=any,contains,991002837359702656","Catalog Record")</f>
        <v>Catalog Record</v>
      </c>
      <c r="AT552" s="6" t="str">
        <f>HYPERLINK("http://www.worldcat.org/oclc/480712","WorldCat Record")</f>
        <v>WorldCat Record</v>
      </c>
      <c r="AU552" s="3" t="s">
        <v>7069</v>
      </c>
      <c r="AV552" s="3" t="s">
        <v>7070</v>
      </c>
      <c r="AW552" s="3" t="s">
        <v>7071</v>
      </c>
      <c r="AX552" s="3" t="s">
        <v>7071</v>
      </c>
      <c r="AY552" s="3" t="s">
        <v>7072</v>
      </c>
      <c r="AZ552" s="3" t="s">
        <v>75</v>
      </c>
      <c r="BC552" s="3" t="s">
        <v>7073</v>
      </c>
      <c r="BD552" s="3" t="s">
        <v>7074</v>
      </c>
    </row>
    <row r="553" spans="1:56" ht="39" customHeight="1" x14ac:dyDescent="0.25">
      <c r="A553" s="7" t="s">
        <v>58</v>
      </c>
      <c r="B553" s="2" t="s">
        <v>7075</v>
      </c>
      <c r="C553" s="2" t="s">
        <v>7076</v>
      </c>
      <c r="D553" s="2" t="s">
        <v>7077</v>
      </c>
      <c r="F553" s="3" t="s">
        <v>58</v>
      </c>
      <c r="G553" s="3" t="s">
        <v>59</v>
      </c>
      <c r="H553" s="3" t="s">
        <v>58</v>
      </c>
      <c r="I553" s="3" t="s">
        <v>58</v>
      </c>
      <c r="J553" s="3" t="s">
        <v>60</v>
      </c>
      <c r="K553" s="2" t="s">
        <v>7078</v>
      </c>
      <c r="L553" s="2" t="s">
        <v>7079</v>
      </c>
      <c r="M553" s="3" t="s">
        <v>1150</v>
      </c>
      <c r="O553" s="3" t="s">
        <v>65</v>
      </c>
      <c r="P553" s="3" t="s">
        <v>186</v>
      </c>
      <c r="R553" s="3" t="s">
        <v>68</v>
      </c>
      <c r="S553" s="4">
        <v>8</v>
      </c>
      <c r="T553" s="4">
        <v>8</v>
      </c>
      <c r="U553" s="5" t="s">
        <v>7080</v>
      </c>
      <c r="V553" s="5" t="s">
        <v>7080</v>
      </c>
      <c r="W553" s="5" t="s">
        <v>7081</v>
      </c>
      <c r="X553" s="5" t="s">
        <v>7081</v>
      </c>
      <c r="Y553" s="4">
        <v>98</v>
      </c>
      <c r="Z553" s="4">
        <v>77</v>
      </c>
      <c r="AA553" s="4">
        <v>82</v>
      </c>
      <c r="AB553" s="4">
        <v>1</v>
      </c>
      <c r="AC553" s="4">
        <v>1</v>
      </c>
      <c r="AD553" s="4">
        <v>8</v>
      </c>
      <c r="AE553" s="4">
        <v>8</v>
      </c>
      <c r="AF553" s="4">
        <v>2</v>
      </c>
      <c r="AG553" s="4">
        <v>2</v>
      </c>
      <c r="AH553" s="4">
        <v>2</v>
      </c>
      <c r="AI553" s="4">
        <v>2</v>
      </c>
      <c r="AJ553" s="4">
        <v>6</v>
      </c>
      <c r="AK553" s="4">
        <v>6</v>
      </c>
      <c r="AL553" s="4">
        <v>0</v>
      </c>
      <c r="AM553" s="4">
        <v>0</v>
      </c>
      <c r="AN553" s="4">
        <v>0</v>
      </c>
      <c r="AO553" s="4">
        <v>0</v>
      </c>
      <c r="AP553" s="3" t="s">
        <v>58</v>
      </c>
      <c r="AQ553" s="3" t="s">
        <v>58</v>
      </c>
      <c r="AS553" s="6" t="str">
        <f>HYPERLINK("https://creighton-primo.hosted.exlibrisgroup.com/primo-explore/search?tab=default_tab&amp;search_scope=EVERYTHING&amp;vid=01CRU&amp;lang=en_US&amp;offset=0&amp;query=any,contains,991002662419702656","Catalog Record")</f>
        <v>Catalog Record</v>
      </c>
      <c r="AT553" s="6" t="str">
        <f>HYPERLINK("http://www.worldcat.org/oclc/34789667","WorldCat Record")</f>
        <v>WorldCat Record</v>
      </c>
      <c r="AU553" s="3" t="s">
        <v>7082</v>
      </c>
      <c r="AV553" s="3" t="s">
        <v>7083</v>
      </c>
      <c r="AW553" s="3" t="s">
        <v>7084</v>
      </c>
      <c r="AX553" s="3" t="s">
        <v>7084</v>
      </c>
      <c r="AY553" s="3" t="s">
        <v>7085</v>
      </c>
      <c r="AZ553" s="3" t="s">
        <v>75</v>
      </c>
      <c r="BB553" s="3" t="s">
        <v>7086</v>
      </c>
      <c r="BC553" s="3" t="s">
        <v>7087</v>
      </c>
      <c r="BD553" s="3" t="s">
        <v>7088</v>
      </c>
    </row>
    <row r="554" spans="1:56" ht="39" customHeight="1" x14ac:dyDescent="0.25">
      <c r="A554" s="7" t="s">
        <v>58</v>
      </c>
      <c r="B554" s="2" t="s">
        <v>7089</v>
      </c>
      <c r="C554" s="2" t="s">
        <v>7090</v>
      </c>
      <c r="D554" s="2" t="s">
        <v>7091</v>
      </c>
      <c r="F554" s="3" t="s">
        <v>58</v>
      </c>
      <c r="G554" s="3" t="s">
        <v>59</v>
      </c>
      <c r="H554" s="3" t="s">
        <v>58</v>
      </c>
      <c r="I554" s="3" t="s">
        <v>58</v>
      </c>
      <c r="J554" s="3" t="s">
        <v>60</v>
      </c>
      <c r="K554" s="2" t="s">
        <v>7092</v>
      </c>
      <c r="L554" s="2" t="s">
        <v>7093</v>
      </c>
      <c r="M554" s="3" t="s">
        <v>318</v>
      </c>
      <c r="O554" s="3" t="s">
        <v>65</v>
      </c>
      <c r="P554" s="3" t="s">
        <v>158</v>
      </c>
      <c r="R554" s="3" t="s">
        <v>68</v>
      </c>
      <c r="S554" s="4">
        <v>4</v>
      </c>
      <c r="T554" s="4">
        <v>4</v>
      </c>
      <c r="U554" s="5" t="s">
        <v>5303</v>
      </c>
      <c r="V554" s="5" t="s">
        <v>5303</v>
      </c>
      <c r="W554" s="5" t="s">
        <v>7094</v>
      </c>
      <c r="X554" s="5" t="s">
        <v>7094</v>
      </c>
      <c r="Y554" s="4">
        <v>218</v>
      </c>
      <c r="Z554" s="4">
        <v>199</v>
      </c>
      <c r="AA554" s="4">
        <v>303</v>
      </c>
      <c r="AB554" s="4">
        <v>2</v>
      </c>
      <c r="AC554" s="4">
        <v>2</v>
      </c>
      <c r="AD554" s="4">
        <v>7</v>
      </c>
      <c r="AE554" s="4">
        <v>10</v>
      </c>
      <c r="AF554" s="4">
        <v>3</v>
      </c>
      <c r="AG554" s="4">
        <v>5</v>
      </c>
      <c r="AH554" s="4">
        <v>2</v>
      </c>
      <c r="AI554" s="4">
        <v>2</v>
      </c>
      <c r="AJ554" s="4">
        <v>2</v>
      </c>
      <c r="AK554" s="4">
        <v>3</v>
      </c>
      <c r="AL554" s="4">
        <v>1</v>
      </c>
      <c r="AM554" s="4">
        <v>1</v>
      </c>
      <c r="AN554" s="4">
        <v>0</v>
      </c>
      <c r="AO554" s="4">
        <v>0</v>
      </c>
      <c r="AP554" s="3" t="s">
        <v>58</v>
      </c>
      <c r="AQ554" s="3" t="s">
        <v>58</v>
      </c>
      <c r="AS554" s="6" t="str">
        <f>HYPERLINK("https://creighton-primo.hosted.exlibrisgroup.com/primo-explore/search?tab=default_tab&amp;search_scope=EVERYTHING&amp;vid=01CRU&amp;lang=en_US&amp;offset=0&amp;query=any,contains,991002952759702656","Catalog Record")</f>
        <v>Catalog Record</v>
      </c>
      <c r="AT554" s="6" t="str">
        <f>HYPERLINK("http://www.worldcat.org/oclc/39354239","WorldCat Record")</f>
        <v>WorldCat Record</v>
      </c>
      <c r="AU554" s="3" t="s">
        <v>7095</v>
      </c>
      <c r="AV554" s="3" t="s">
        <v>7096</v>
      </c>
      <c r="AW554" s="3" t="s">
        <v>7097</v>
      </c>
      <c r="AX554" s="3" t="s">
        <v>7097</v>
      </c>
      <c r="AY554" s="3" t="s">
        <v>7098</v>
      </c>
      <c r="AZ554" s="3" t="s">
        <v>75</v>
      </c>
      <c r="BB554" s="3" t="s">
        <v>7099</v>
      </c>
      <c r="BC554" s="3" t="s">
        <v>7100</v>
      </c>
      <c r="BD554" s="3" t="s">
        <v>7101</v>
      </c>
    </row>
    <row r="555" spans="1:56" ht="39" customHeight="1" x14ac:dyDescent="0.25">
      <c r="A555" s="7" t="s">
        <v>58</v>
      </c>
      <c r="B555" s="2" t="s">
        <v>7102</v>
      </c>
      <c r="C555" s="2" t="s">
        <v>7103</v>
      </c>
      <c r="D555" s="2" t="s">
        <v>7104</v>
      </c>
      <c r="F555" s="3" t="s">
        <v>58</v>
      </c>
      <c r="G555" s="3" t="s">
        <v>59</v>
      </c>
      <c r="H555" s="3" t="s">
        <v>58</v>
      </c>
      <c r="I555" s="3" t="s">
        <v>58</v>
      </c>
      <c r="J555" s="3" t="s">
        <v>60</v>
      </c>
      <c r="K555" s="2" t="s">
        <v>7105</v>
      </c>
      <c r="L555" s="2" t="s">
        <v>6637</v>
      </c>
      <c r="M555" s="3" t="s">
        <v>709</v>
      </c>
      <c r="O555" s="3" t="s">
        <v>65</v>
      </c>
      <c r="P555" s="3" t="s">
        <v>186</v>
      </c>
      <c r="R555" s="3" t="s">
        <v>68</v>
      </c>
      <c r="S555" s="4">
        <v>5</v>
      </c>
      <c r="T555" s="4">
        <v>5</v>
      </c>
      <c r="U555" s="5" t="s">
        <v>7106</v>
      </c>
      <c r="V555" s="5" t="s">
        <v>7106</v>
      </c>
      <c r="W555" s="5" t="s">
        <v>7107</v>
      </c>
      <c r="X555" s="5" t="s">
        <v>7107</v>
      </c>
      <c r="Y555" s="4">
        <v>192</v>
      </c>
      <c r="Z555" s="4">
        <v>173</v>
      </c>
      <c r="AA555" s="4">
        <v>174</v>
      </c>
      <c r="AB555" s="4">
        <v>3</v>
      </c>
      <c r="AC555" s="4">
        <v>3</v>
      </c>
      <c r="AD555" s="4">
        <v>10</v>
      </c>
      <c r="AE555" s="4">
        <v>10</v>
      </c>
      <c r="AF555" s="4">
        <v>1</v>
      </c>
      <c r="AG555" s="4">
        <v>1</v>
      </c>
      <c r="AH555" s="4">
        <v>2</v>
      </c>
      <c r="AI555" s="4">
        <v>2</v>
      </c>
      <c r="AJ555" s="4">
        <v>7</v>
      </c>
      <c r="AK555" s="4">
        <v>7</v>
      </c>
      <c r="AL555" s="4">
        <v>1</v>
      </c>
      <c r="AM555" s="4">
        <v>1</v>
      </c>
      <c r="AN555" s="4">
        <v>0</v>
      </c>
      <c r="AO555" s="4">
        <v>0</v>
      </c>
      <c r="AP555" s="3" t="s">
        <v>58</v>
      </c>
      <c r="AQ555" s="3" t="s">
        <v>132</v>
      </c>
      <c r="AR555" s="6" t="str">
        <f>HYPERLINK("http://catalog.hathitrust.org/Record/006019360","HathiTrust Record")</f>
        <v>HathiTrust Record</v>
      </c>
      <c r="AS555" s="6" t="str">
        <f>HYPERLINK("https://creighton-primo.hosted.exlibrisgroup.com/primo-explore/search?tab=default_tab&amp;search_scope=EVERYTHING&amp;vid=01CRU&amp;lang=en_US&amp;offset=0&amp;query=any,contains,991005411499702656","Catalog Record")</f>
        <v>Catalog Record</v>
      </c>
      <c r="AT555" s="6" t="str">
        <f>HYPERLINK("http://www.worldcat.org/oclc/20355259","WorldCat Record")</f>
        <v>WorldCat Record</v>
      </c>
      <c r="AU555" s="3" t="s">
        <v>7108</v>
      </c>
      <c r="AV555" s="3" t="s">
        <v>7109</v>
      </c>
      <c r="AW555" s="3" t="s">
        <v>7110</v>
      </c>
      <c r="AX555" s="3" t="s">
        <v>7110</v>
      </c>
      <c r="AY555" s="3" t="s">
        <v>7111</v>
      </c>
      <c r="AZ555" s="3" t="s">
        <v>75</v>
      </c>
      <c r="BB555" s="3" t="s">
        <v>7112</v>
      </c>
      <c r="BC555" s="3" t="s">
        <v>7113</v>
      </c>
      <c r="BD555" s="3" t="s">
        <v>7114</v>
      </c>
    </row>
    <row r="556" spans="1:56" ht="39" customHeight="1" x14ac:dyDescent="0.25">
      <c r="A556" s="7" t="s">
        <v>58</v>
      </c>
      <c r="B556" s="2" t="s">
        <v>7115</v>
      </c>
      <c r="C556" s="2" t="s">
        <v>7116</v>
      </c>
      <c r="D556" s="2" t="s">
        <v>7117</v>
      </c>
      <c r="F556" s="3" t="s">
        <v>58</v>
      </c>
      <c r="G556" s="3" t="s">
        <v>59</v>
      </c>
      <c r="H556" s="3" t="s">
        <v>58</v>
      </c>
      <c r="I556" s="3" t="s">
        <v>58</v>
      </c>
      <c r="J556" s="3" t="s">
        <v>60</v>
      </c>
      <c r="K556" s="2" t="s">
        <v>7118</v>
      </c>
      <c r="L556" s="2" t="s">
        <v>7119</v>
      </c>
      <c r="M556" s="3" t="s">
        <v>1424</v>
      </c>
      <c r="O556" s="3" t="s">
        <v>65</v>
      </c>
      <c r="P556" s="3" t="s">
        <v>66</v>
      </c>
      <c r="R556" s="3" t="s">
        <v>68</v>
      </c>
      <c r="S556" s="4">
        <v>1</v>
      </c>
      <c r="T556" s="4">
        <v>1</v>
      </c>
      <c r="U556" s="5" t="s">
        <v>7120</v>
      </c>
      <c r="V556" s="5" t="s">
        <v>7120</v>
      </c>
      <c r="W556" s="5" t="s">
        <v>6881</v>
      </c>
      <c r="X556" s="5" t="s">
        <v>6881</v>
      </c>
      <c r="Y556" s="4">
        <v>202</v>
      </c>
      <c r="Z556" s="4">
        <v>154</v>
      </c>
      <c r="AA556" s="4">
        <v>154</v>
      </c>
      <c r="AB556" s="4">
        <v>3</v>
      </c>
      <c r="AC556" s="4">
        <v>3</v>
      </c>
      <c r="AD556" s="4">
        <v>24</v>
      </c>
      <c r="AE556" s="4">
        <v>24</v>
      </c>
      <c r="AF556" s="4">
        <v>6</v>
      </c>
      <c r="AG556" s="4">
        <v>6</v>
      </c>
      <c r="AH556" s="4">
        <v>8</v>
      </c>
      <c r="AI556" s="4">
        <v>8</v>
      </c>
      <c r="AJ556" s="4">
        <v>20</v>
      </c>
      <c r="AK556" s="4">
        <v>20</v>
      </c>
      <c r="AL556" s="4">
        <v>0</v>
      </c>
      <c r="AM556" s="4">
        <v>0</v>
      </c>
      <c r="AN556" s="4">
        <v>0</v>
      </c>
      <c r="AO556" s="4">
        <v>0</v>
      </c>
      <c r="AP556" s="3" t="s">
        <v>58</v>
      </c>
      <c r="AQ556" s="3" t="s">
        <v>58</v>
      </c>
      <c r="AS556" s="6" t="str">
        <f>HYPERLINK("https://creighton-primo.hosted.exlibrisgroup.com/primo-explore/search?tab=default_tab&amp;search_scope=EVERYTHING&amp;vid=01CRU&amp;lang=en_US&amp;offset=0&amp;query=any,contains,991004095439702656","Catalog Record")</f>
        <v>Catalog Record</v>
      </c>
      <c r="AT556" s="6" t="str">
        <f>HYPERLINK("http://www.worldcat.org/oclc/2358417","WorldCat Record")</f>
        <v>WorldCat Record</v>
      </c>
      <c r="AU556" s="3" t="s">
        <v>7121</v>
      </c>
      <c r="AV556" s="3" t="s">
        <v>7122</v>
      </c>
      <c r="AW556" s="3" t="s">
        <v>7123</v>
      </c>
      <c r="AX556" s="3" t="s">
        <v>7123</v>
      </c>
      <c r="AY556" s="3" t="s">
        <v>7124</v>
      </c>
      <c r="AZ556" s="3" t="s">
        <v>75</v>
      </c>
      <c r="BC556" s="3" t="s">
        <v>7125</v>
      </c>
      <c r="BD556" s="3" t="s">
        <v>7126</v>
      </c>
    </row>
    <row r="557" spans="1:56" ht="39" customHeight="1" x14ac:dyDescent="0.25">
      <c r="A557" s="7" t="s">
        <v>58</v>
      </c>
      <c r="B557" s="2" t="s">
        <v>7127</v>
      </c>
      <c r="C557" s="2" t="s">
        <v>7128</v>
      </c>
      <c r="D557" s="2" t="s">
        <v>7129</v>
      </c>
      <c r="F557" s="3" t="s">
        <v>58</v>
      </c>
      <c r="G557" s="3" t="s">
        <v>59</v>
      </c>
      <c r="H557" s="3" t="s">
        <v>58</v>
      </c>
      <c r="I557" s="3" t="s">
        <v>58</v>
      </c>
      <c r="J557" s="3" t="s">
        <v>60</v>
      </c>
      <c r="K557" s="2" t="s">
        <v>4890</v>
      </c>
      <c r="L557" s="2" t="s">
        <v>7130</v>
      </c>
      <c r="M557" s="3" t="s">
        <v>759</v>
      </c>
      <c r="O557" s="3" t="s">
        <v>65</v>
      </c>
      <c r="P557" s="3" t="s">
        <v>2664</v>
      </c>
      <c r="R557" s="3" t="s">
        <v>68</v>
      </c>
      <c r="S557" s="4">
        <v>6</v>
      </c>
      <c r="T557" s="4">
        <v>6</v>
      </c>
      <c r="U557" s="5" t="s">
        <v>7131</v>
      </c>
      <c r="V557" s="5" t="s">
        <v>7131</v>
      </c>
      <c r="W557" s="5" t="s">
        <v>6702</v>
      </c>
      <c r="X557" s="5" t="s">
        <v>6702</v>
      </c>
      <c r="Y557" s="4">
        <v>718</v>
      </c>
      <c r="Z557" s="4">
        <v>686</v>
      </c>
      <c r="AA557" s="4">
        <v>869</v>
      </c>
      <c r="AB557" s="4">
        <v>7</v>
      </c>
      <c r="AC557" s="4">
        <v>8</v>
      </c>
      <c r="AD557" s="4">
        <v>3</v>
      </c>
      <c r="AE557" s="4">
        <v>4</v>
      </c>
      <c r="AF557" s="4">
        <v>2</v>
      </c>
      <c r="AG557" s="4">
        <v>3</v>
      </c>
      <c r="AH557" s="4">
        <v>0</v>
      </c>
      <c r="AI557" s="4">
        <v>0</v>
      </c>
      <c r="AJ557" s="4">
        <v>0</v>
      </c>
      <c r="AK557" s="4">
        <v>0</v>
      </c>
      <c r="AL557" s="4">
        <v>1</v>
      </c>
      <c r="AM557" s="4">
        <v>1</v>
      </c>
      <c r="AN557" s="4">
        <v>0</v>
      </c>
      <c r="AO557" s="4">
        <v>0</v>
      </c>
      <c r="AP557" s="3" t="s">
        <v>58</v>
      </c>
      <c r="AQ557" s="3" t="s">
        <v>58</v>
      </c>
      <c r="AS557" s="6" t="str">
        <f>HYPERLINK("https://creighton-primo.hosted.exlibrisgroup.com/primo-explore/search?tab=default_tab&amp;search_scope=EVERYTHING&amp;vid=01CRU&amp;lang=en_US&amp;offset=0&amp;query=any,contains,991001246969702656","Catalog Record")</f>
        <v>Catalog Record</v>
      </c>
      <c r="AT557" s="6" t="str">
        <f>HYPERLINK("http://www.worldcat.org/oclc/17650493","WorldCat Record")</f>
        <v>WorldCat Record</v>
      </c>
      <c r="AU557" s="3" t="s">
        <v>7132</v>
      </c>
      <c r="AV557" s="3" t="s">
        <v>7133</v>
      </c>
      <c r="AW557" s="3" t="s">
        <v>7134</v>
      </c>
      <c r="AX557" s="3" t="s">
        <v>7134</v>
      </c>
      <c r="AY557" s="3" t="s">
        <v>7135</v>
      </c>
      <c r="AZ557" s="3" t="s">
        <v>75</v>
      </c>
      <c r="BB557" s="3" t="s">
        <v>7136</v>
      </c>
      <c r="BC557" s="3" t="s">
        <v>7137</v>
      </c>
      <c r="BD557" s="3" t="s">
        <v>7138</v>
      </c>
    </row>
    <row r="558" spans="1:56" ht="39" customHeight="1" x14ac:dyDescent="0.25">
      <c r="A558" s="7" t="s">
        <v>58</v>
      </c>
      <c r="B558" s="2" t="s">
        <v>7139</v>
      </c>
      <c r="C558" s="2" t="s">
        <v>7140</v>
      </c>
      <c r="D558" s="2" t="s">
        <v>7141</v>
      </c>
      <c r="F558" s="3" t="s">
        <v>58</v>
      </c>
      <c r="G558" s="3" t="s">
        <v>59</v>
      </c>
      <c r="H558" s="3" t="s">
        <v>58</v>
      </c>
      <c r="I558" s="3" t="s">
        <v>58</v>
      </c>
      <c r="J558" s="3" t="s">
        <v>60</v>
      </c>
      <c r="K558" s="2" t="s">
        <v>7142</v>
      </c>
      <c r="L558" s="2" t="s">
        <v>1567</v>
      </c>
      <c r="M558" s="3" t="s">
        <v>361</v>
      </c>
      <c r="O558" s="3" t="s">
        <v>65</v>
      </c>
      <c r="P558" s="3" t="s">
        <v>186</v>
      </c>
      <c r="R558" s="3" t="s">
        <v>68</v>
      </c>
      <c r="S558" s="4">
        <v>3</v>
      </c>
      <c r="T558" s="4">
        <v>3</v>
      </c>
      <c r="U558" s="5" t="s">
        <v>4323</v>
      </c>
      <c r="V558" s="5" t="s">
        <v>4323</v>
      </c>
      <c r="W558" s="5" t="s">
        <v>6881</v>
      </c>
      <c r="X558" s="5" t="s">
        <v>6881</v>
      </c>
      <c r="Y558" s="4">
        <v>420</v>
      </c>
      <c r="Z558" s="4">
        <v>342</v>
      </c>
      <c r="AA558" s="4">
        <v>347</v>
      </c>
      <c r="AB558" s="4">
        <v>4</v>
      </c>
      <c r="AC558" s="4">
        <v>4</v>
      </c>
      <c r="AD558" s="4">
        <v>30</v>
      </c>
      <c r="AE558" s="4">
        <v>30</v>
      </c>
      <c r="AF558" s="4">
        <v>7</v>
      </c>
      <c r="AG558" s="4">
        <v>7</v>
      </c>
      <c r="AH558" s="4">
        <v>8</v>
      </c>
      <c r="AI558" s="4">
        <v>8</v>
      </c>
      <c r="AJ558" s="4">
        <v>22</v>
      </c>
      <c r="AK558" s="4">
        <v>22</v>
      </c>
      <c r="AL558" s="4">
        <v>2</v>
      </c>
      <c r="AM558" s="4">
        <v>2</v>
      </c>
      <c r="AN558" s="4">
        <v>0</v>
      </c>
      <c r="AO558" s="4">
        <v>0</v>
      </c>
      <c r="AP558" s="3" t="s">
        <v>58</v>
      </c>
      <c r="AQ558" s="3" t="s">
        <v>58</v>
      </c>
      <c r="AS558" s="6" t="str">
        <f>HYPERLINK("https://creighton-primo.hosted.exlibrisgroup.com/primo-explore/search?tab=default_tab&amp;search_scope=EVERYTHING&amp;vid=01CRU&amp;lang=en_US&amp;offset=0&amp;query=any,contains,991000389749702656","Catalog Record")</f>
        <v>Catalog Record</v>
      </c>
      <c r="AT558" s="6" t="str">
        <f>HYPERLINK("http://www.worldcat.org/oclc/10536747","WorldCat Record")</f>
        <v>WorldCat Record</v>
      </c>
      <c r="AU558" s="3" t="s">
        <v>7143</v>
      </c>
      <c r="AV558" s="3" t="s">
        <v>7144</v>
      </c>
      <c r="AW558" s="3" t="s">
        <v>7145</v>
      </c>
      <c r="AX558" s="3" t="s">
        <v>7145</v>
      </c>
      <c r="AY558" s="3" t="s">
        <v>7146</v>
      </c>
      <c r="AZ558" s="3" t="s">
        <v>75</v>
      </c>
      <c r="BB558" s="3" t="s">
        <v>7147</v>
      </c>
      <c r="BC558" s="3" t="s">
        <v>7148</v>
      </c>
      <c r="BD558" s="3" t="s">
        <v>7149</v>
      </c>
    </row>
    <row r="559" spans="1:56" ht="39" customHeight="1" x14ac:dyDescent="0.25">
      <c r="A559" s="7" t="s">
        <v>58</v>
      </c>
      <c r="B559" s="2" t="s">
        <v>7150</v>
      </c>
      <c r="C559" s="2" t="s">
        <v>7151</v>
      </c>
      <c r="D559" s="2" t="s">
        <v>7152</v>
      </c>
      <c r="F559" s="3" t="s">
        <v>58</v>
      </c>
      <c r="G559" s="3" t="s">
        <v>59</v>
      </c>
      <c r="H559" s="3" t="s">
        <v>58</v>
      </c>
      <c r="I559" s="3" t="s">
        <v>58</v>
      </c>
      <c r="J559" s="3" t="s">
        <v>60</v>
      </c>
      <c r="K559" s="2" t="s">
        <v>7153</v>
      </c>
      <c r="L559" s="2" t="s">
        <v>7154</v>
      </c>
      <c r="M559" s="3" t="s">
        <v>1150</v>
      </c>
      <c r="O559" s="3" t="s">
        <v>65</v>
      </c>
      <c r="P559" s="3" t="s">
        <v>346</v>
      </c>
      <c r="R559" s="3" t="s">
        <v>68</v>
      </c>
      <c r="S559" s="4">
        <v>6</v>
      </c>
      <c r="T559" s="4">
        <v>6</v>
      </c>
      <c r="U559" s="5" t="s">
        <v>7155</v>
      </c>
      <c r="V559" s="5" t="s">
        <v>7155</v>
      </c>
      <c r="W559" s="5" t="s">
        <v>7156</v>
      </c>
      <c r="X559" s="5" t="s">
        <v>7156</v>
      </c>
      <c r="Y559" s="4">
        <v>247</v>
      </c>
      <c r="Z559" s="4">
        <v>204</v>
      </c>
      <c r="AA559" s="4">
        <v>264</v>
      </c>
      <c r="AB559" s="4">
        <v>4</v>
      </c>
      <c r="AC559" s="4">
        <v>5</v>
      </c>
      <c r="AD559" s="4">
        <v>11</v>
      </c>
      <c r="AE559" s="4">
        <v>15</v>
      </c>
      <c r="AF559" s="4">
        <v>5</v>
      </c>
      <c r="AG559" s="4">
        <v>6</v>
      </c>
      <c r="AH559" s="4">
        <v>0</v>
      </c>
      <c r="AI559" s="4">
        <v>2</v>
      </c>
      <c r="AJ559" s="4">
        <v>6</v>
      </c>
      <c r="AK559" s="4">
        <v>8</v>
      </c>
      <c r="AL559" s="4">
        <v>2</v>
      </c>
      <c r="AM559" s="4">
        <v>3</v>
      </c>
      <c r="AN559" s="4">
        <v>0</v>
      </c>
      <c r="AO559" s="4">
        <v>0</v>
      </c>
      <c r="AP559" s="3" t="s">
        <v>58</v>
      </c>
      <c r="AQ559" s="3" t="s">
        <v>58</v>
      </c>
      <c r="AS559" s="6" t="str">
        <f>HYPERLINK("https://creighton-primo.hosted.exlibrisgroup.com/primo-explore/search?tab=default_tab&amp;search_scope=EVERYTHING&amp;vid=01CRU&amp;lang=en_US&amp;offset=0&amp;query=any,contains,991002671619702656","Catalog Record")</f>
        <v>Catalog Record</v>
      </c>
      <c r="AT559" s="6" t="str">
        <f>HYPERLINK("http://www.worldcat.org/oclc/34936860","WorldCat Record")</f>
        <v>WorldCat Record</v>
      </c>
      <c r="AU559" s="3" t="s">
        <v>7157</v>
      </c>
      <c r="AV559" s="3" t="s">
        <v>7158</v>
      </c>
      <c r="AW559" s="3" t="s">
        <v>7159</v>
      </c>
      <c r="AX559" s="3" t="s">
        <v>7159</v>
      </c>
      <c r="AY559" s="3" t="s">
        <v>7160</v>
      </c>
      <c r="AZ559" s="3" t="s">
        <v>75</v>
      </c>
      <c r="BB559" s="3" t="s">
        <v>7161</v>
      </c>
      <c r="BC559" s="3" t="s">
        <v>7162</v>
      </c>
      <c r="BD559" s="3" t="s">
        <v>7163</v>
      </c>
    </row>
    <row r="560" spans="1:56" ht="39" customHeight="1" x14ac:dyDescent="0.25">
      <c r="A560" s="7" t="s">
        <v>58</v>
      </c>
      <c r="B560" s="2" t="s">
        <v>7164</v>
      </c>
      <c r="C560" s="2" t="s">
        <v>7165</v>
      </c>
      <c r="D560" s="2" t="s">
        <v>7166</v>
      </c>
      <c r="F560" s="3" t="s">
        <v>58</v>
      </c>
      <c r="G560" s="3" t="s">
        <v>59</v>
      </c>
      <c r="H560" s="3" t="s">
        <v>58</v>
      </c>
      <c r="I560" s="3" t="s">
        <v>58</v>
      </c>
      <c r="J560" s="3" t="s">
        <v>60</v>
      </c>
      <c r="K560" s="2" t="s">
        <v>7167</v>
      </c>
      <c r="L560" s="2" t="s">
        <v>7168</v>
      </c>
      <c r="M560" s="3" t="s">
        <v>215</v>
      </c>
      <c r="O560" s="3" t="s">
        <v>65</v>
      </c>
      <c r="P560" s="3" t="s">
        <v>967</v>
      </c>
      <c r="R560" s="3" t="s">
        <v>68</v>
      </c>
      <c r="S560" s="4">
        <v>7</v>
      </c>
      <c r="T560" s="4">
        <v>7</v>
      </c>
      <c r="U560" s="5" t="s">
        <v>7169</v>
      </c>
      <c r="V560" s="5" t="s">
        <v>7169</v>
      </c>
      <c r="W560" s="5" t="s">
        <v>6881</v>
      </c>
      <c r="X560" s="5" t="s">
        <v>6881</v>
      </c>
      <c r="Y560" s="4">
        <v>359</v>
      </c>
      <c r="Z560" s="4">
        <v>312</v>
      </c>
      <c r="AA560" s="4">
        <v>320</v>
      </c>
      <c r="AB560" s="4">
        <v>6</v>
      </c>
      <c r="AC560" s="4">
        <v>6</v>
      </c>
      <c r="AD560" s="4">
        <v>24</v>
      </c>
      <c r="AE560" s="4">
        <v>24</v>
      </c>
      <c r="AF560" s="4">
        <v>7</v>
      </c>
      <c r="AG560" s="4">
        <v>7</v>
      </c>
      <c r="AH560" s="4">
        <v>4</v>
      </c>
      <c r="AI560" s="4">
        <v>4</v>
      </c>
      <c r="AJ560" s="4">
        <v>16</v>
      </c>
      <c r="AK560" s="4">
        <v>16</v>
      </c>
      <c r="AL560" s="4">
        <v>4</v>
      </c>
      <c r="AM560" s="4">
        <v>4</v>
      </c>
      <c r="AN560" s="4">
        <v>0</v>
      </c>
      <c r="AO560" s="4">
        <v>0</v>
      </c>
      <c r="AP560" s="3" t="s">
        <v>58</v>
      </c>
      <c r="AQ560" s="3" t="s">
        <v>132</v>
      </c>
      <c r="AR560" s="6" t="str">
        <f>HYPERLINK("http://catalog.hathitrust.org/Record/000823844","HathiTrust Record")</f>
        <v>HathiTrust Record</v>
      </c>
      <c r="AS560" s="6" t="str">
        <f>HYPERLINK("https://creighton-primo.hosted.exlibrisgroup.com/primo-explore/search?tab=default_tab&amp;search_scope=EVERYTHING&amp;vid=01CRU&amp;lang=en_US&amp;offset=0&amp;query=any,contains,991000867059702656","Catalog Record")</f>
        <v>Catalog Record</v>
      </c>
      <c r="AT560" s="6" t="str">
        <f>HYPERLINK("http://www.worldcat.org/oclc/13760200","WorldCat Record")</f>
        <v>WorldCat Record</v>
      </c>
      <c r="AU560" s="3" t="s">
        <v>7170</v>
      </c>
      <c r="AV560" s="3" t="s">
        <v>7171</v>
      </c>
      <c r="AW560" s="3" t="s">
        <v>7172</v>
      </c>
      <c r="AX560" s="3" t="s">
        <v>7172</v>
      </c>
      <c r="AY560" s="3" t="s">
        <v>7173</v>
      </c>
      <c r="AZ560" s="3" t="s">
        <v>75</v>
      </c>
      <c r="BB560" s="3" t="s">
        <v>7174</v>
      </c>
      <c r="BC560" s="3" t="s">
        <v>7175</v>
      </c>
      <c r="BD560" s="3" t="s">
        <v>7176</v>
      </c>
    </row>
    <row r="561" spans="1:56" ht="39" customHeight="1" x14ac:dyDescent="0.25">
      <c r="A561" s="7" t="s">
        <v>58</v>
      </c>
      <c r="B561" s="2" t="s">
        <v>7177</v>
      </c>
      <c r="C561" s="2" t="s">
        <v>7178</v>
      </c>
      <c r="D561" s="2" t="s">
        <v>7179</v>
      </c>
      <c r="F561" s="3" t="s">
        <v>58</v>
      </c>
      <c r="G561" s="3" t="s">
        <v>59</v>
      </c>
      <c r="H561" s="3" t="s">
        <v>58</v>
      </c>
      <c r="I561" s="3" t="s">
        <v>58</v>
      </c>
      <c r="J561" s="3" t="s">
        <v>60</v>
      </c>
      <c r="K561" s="2" t="s">
        <v>7180</v>
      </c>
      <c r="L561" s="2" t="s">
        <v>7181</v>
      </c>
      <c r="M561" s="3" t="s">
        <v>544</v>
      </c>
      <c r="O561" s="3" t="s">
        <v>65</v>
      </c>
      <c r="P561" s="3" t="s">
        <v>66</v>
      </c>
      <c r="R561" s="3" t="s">
        <v>68</v>
      </c>
      <c r="S561" s="4">
        <v>2</v>
      </c>
      <c r="T561" s="4">
        <v>2</v>
      </c>
      <c r="U561" s="5" t="s">
        <v>7182</v>
      </c>
      <c r="V561" s="5" t="s">
        <v>7182</v>
      </c>
      <c r="W561" s="5" t="s">
        <v>7183</v>
      </c>
      <c r="X561" s="5" t="s">
        <v>7183</v>
      </c>
      <c r="Y561" s="4">
        <v>263</v>
      </c>
      <c r="Z561" s="4">
        <v>171</v>
      </c>
      <c r="AA561" s="4">
        <v>242</v>
      </c>
      <c r="AB561" s="4">
        <v>1</v>
      </c>
      <c r="AC561" s="4">
        <v>1</v>
      </c>
      <c r="AD561" s="4">
        <v>10</v>
      </c>
      <c r="AE561" s="4">
        <v>18</v>
      </c>
      <c r="AF561" s="4">
        <v>3</v>
      </c>
      <c r="AG561" s="4">
        <v>7</v>
      </c>
      <c r="AH561" s="4">
        <v>2</v>
      </c>
      <c r="AI561" s="4">
        <v>6</v>
      </c>
      <c r="AJ561" s="4">
        <v>7</v>
      </c>
      <c r="AK561" s="4">
        <v>12</v>
      </c>
      <c r="AL561" s="4">
        <v>0</v>
      </c>
      <c r="AM561" s="4">
        <v>0</v>
      </c>
      <c r="AN561" s="4">
        <v>0</v>
      </c>
      <c r="AO561" s="4">
        <v>0</v>
      </c>
      <c r="AP561" s="3" t="s">
        <v>58</v>
      </c>
      <c r="AQ561" s="3" t="s">
        <v>132</v>
      </c>
      <c r="AR561" s="6" t="str">
        <f>HYPERLINK("http://catalog.hathitrust.org/Record/004046584","HathiTrust Record")</f>
        <v>HathiTrust Record</v>
      </c>
      <c r="AS561" s="6" t="str">
        <f>HYPERLINK("https://creighton-primo.hosted.exlibrisgroup.com/primo-explore/search?tab=default_tab&amp;search_scope=EVERYTHING&amp;vid=01CRU&amp;lang=en_US&amp;offset=0&amp;query=any,contains,991003719439702656","Catalog Record")</f>
        <v>Catalog Record</v>
      </c>
      <c r="AT561" s="6" t="str">
        <f>HYPERLINK("http://www.worldcat.org/oclc/59438113","WorldCat Record")</f>
        <v>WorldCat Record</v>
      </c>
      <c r="AU561" s="3" t="s">
        <v>7184</v>
      </c>
      <c r="AV561" s="3" t="s">
        <v>7185</v>
      </c>
      <c r="AW561" s="3" t="s">
        <v>7186</v>
      </c>
      <c r="AX561" s="3" t="s">
        <v>7186</v>
      </c>
      <c r="AY561" s="3" t="s">
        <v>7187</v>
      </c>
      <c r="AZ561" s="3" t="s">
        <v>75</v>
      </c>
      <c r="BB561" s="3" t="s">
        <v>7188</v>
      </c>
      <c r="BC561" s="3" t="s">
        <v>7189</v>
      </c>
      <c r="BD561" s="3" t="s">
        <v>7190</v>
      </c>
    </row>
    <row r="562" spans="1:56" ht="39" customHeight="1" x14ac:dyDescent="0.25">
      <c r="A562" s="7" t="s">
        <v>58</v>
      </c>
      <c r="B562" s="2" t="s">
        <v>7191</v>
      </c>
      <c r="C562" s="2" t="s">
        <v>7192</v>
      </c>
      <c r="D562" s="2" t="s">
        <v>7193</v>
      </c>
      <c r="F562" s="3" t="s">
        <v>58</v>
      </c>
      <c r="G562" s="3" t="s">
        <v>59</v>
      </c>
      <c r="H562" s="3" t="s">
        <v>58</v>
      </c>
      <c r="I562" s="3" t="s">
        <v>58</v>
      </c>
      <c r="J562" s="3" t="s">
        <v>60</v>
      </c>
      <c r="K562" s="2" t="s">
        <v>7194</v>
      </c>
      <c r="L562" s="2" t="s">
        <v>7195</v>
      </c>
      <c r="M562" s="3" t="s">
        <v>781</v>
      </c>
      <c r="O562" s="3" t="s">
        <v>65</v>
      </c>
      <c r="P562" s="3" t="s">
        <v>66</v>
      </c>
      <c r="R562" s="3" t="s">
        <v>68</v>
      </c>
      <c r="S562" s="4">
        <v>2</v>
      </c>
      <c r="T562" s="4">
        <v>2</v>
      </c>
      <c r="U562" s="5" t="s">
        <v>7196</v>
      </c>
      <c r="V562" s="5" t="s">
        <v>7196</v>
      </c>
      <c r="W562" s="5" t="s">
        <v>6881</v>
      </c>
      <c r="X562" s="5" t="s">
        <v>6881</v>
      </c>
      <c r="Y562" s="4">
        <v>125</v>
      </c>
      <c r="Z562" s="4">
        <v>56</v>
      </c>
      <c r="AA562" s="4">
        <v>152</v>
      </c>
      <c r="AB562" s="4">
        <v>1</v>
      </c>
      <c r="AC562" s="4">
        <v>1</v>
      </c>
      <c r="AD562" s="4">
        <v>2</v>
      </c>
      <c r="AE562" s="4">
        <v>9</v>
      </c>
      <c r="AF562" s="4">
        <v>0</v>
      </c>
      <c r="AG562" s="4">
        <v>4</v>
      </c>
      <c r="AH562" s="4">
        <v>0</v>
      </c>
      <c r="AI562" s="4">
        <v>1</v>
      </c>
      <c r="AJ562" s="4">
        <v>2</v>
      </c>
      <c r="AK562" s="4">
        <v>6</v>
      </c>
      <c r="AL562" s="4">
        <v>0</v>
      </c>
      <c r="AM562" s="4">
        <v>0</v>
      </c>
      <c r="AN562" s="4">
        <v>0</v>
      </c>
      <c r="AO562" s="4">
        <v>0</v>
      </c>
      <c r="AP562" s="3" t="s">
        <v>58</v>
      </c>
      <c r="AQ562" s="3" t="s">
        <v>58</v>
      </c>
      <c r="AS562" s="6" t="str">
        <f>HYPERLINK("https://creighton-primo.hosted.exlibrisgroup.com/primo-explore/search?tab=default_tab&amp;search_scope=EVERYTHING&amp;vid=01CRU&amp;lang=en_US&amp;offset=0&amp;query=any,contains,991000730319702656","Catalog Record")</f>
        <v>Catalog Record</v>
      </c>
      <c r="AT562" s="6" t="str">
        <f>HYPERLINK("http://www.worldcat.org/oclc/14692863","WorldCat Record")</f>
        <v>WorldCat Record</v>
      </c>
      <c r="AU562" s="3" t="s">
        <v>7197</v>
      </c>
      <c r="AV562" s="3" t="s">
        <v>7198</v>
      </c>
      <c r="AW562" s="3" t="s">
        <v>7199</v>
      </c>
      <c r="AX562" s="3" t="s">
        <v>7199</v>
      </c>
      <c r="AY562" s="3" t="s">
        <v>7200</v>
      </c>
      <c r="AZ562" s="3" t="s">
        <v>75</v>
      </c>
      <c r="BB562" s="3" t="s">
        <v>7201</v>
      </c>
      <c r="BC562" s="3" t="s">
        <v>7202</v>
      </c>
      <c r="BD562" s="3" t="s">
        <v>7203</v>
      </c>
    </row>
    <row r="563" spans="1:56" ht="39" customHeight="1" x14ac:dyDescent="0.25">
      <c r="A563" s="7" t="s">
        <v>58</v>
      </c>
      <c r="B563" s="2" t="s">
        <v>7204</v>
      </c>
      <c r="C563" s="2" t="s">
        <v>7205</v>
      </c>
      <c r="D563" s="2" t="s">
        <v>7206</v>
      </c>
      <c r="F563" s="3" t="s">
        <v>58</v>
      </c>
      <c r="G563" s="3" t="s">
        <v>59</v>
      </c>
      <c r="H563" s="3" t="s">
        <v>58</v>
      </c>
      <c r="I563" s="3" t="s">
        <v>58</v>
      </c>
      <c r="J563" s="3" t="s">
        <v>60</v>
      </c>
      <c r="K563" s="2" t="s">
        <v>7207</v>
      </c>
      <c r="L563" s="2" t="s">
        <v>7208</v>
      </c>
      <c r="M563" s="3" t="s">
        <v>1723</v>
      </c>
      <c r="O563" s="3" t="s">
        <v>65</v>
      </c>
      <c r="P563" s="3" t="s">
        <v>967</v>
      </c>
      <c r="R563" s="3" t="s">
        <v>68</v>
      </c>
      <c r="S563" s="4">
        <v>1</v>
      </c>
      <c r="T563" s="4">
        <v>1</v>
      </c>
      <c r="U563" s="5" t="s">
        <v>5279</v>
      </c>
      <c r="V563" s="5" t="s">
        <v>5279</v>
      </c>
      <c r="W563" s="5" t="s">
        <v>5279</v>
      </c>
      <c r="X563" s="5" t="s">
        <v>5279</v>
      </c>
      <c r="Y563" s="4">
        <v>159</v>
      </c>
      <c r="Z563" s="4">
        <v>137</v>
      </c>
      <c r="AA563" s="4">
        <v>138</v>
      </c>
      <c r="AB563" s="4">
        <v>1</v>
      </c>
      <c r="AC563" s="4">
        <v>1</v>
      </c>
      <c r="AD563" s="4">
        <v>5</v>
      </c>
      <c r="AE563" s="4">
        <v>5</v>
      </c>
      <c r="AF563" s="4">
        <v>3</v>
      </c>
      <c r="AG563" s="4">
        <v>3</v>
      </c>
      <c r="AH563" s="4">
        <v>1</v>
      </c>
      <c r="AI563" s="4">
        <v>1</v>
      </c>
      <c r="AJ563" s="4">
        <v>1</v>
      </c>
      <c r="AK563" s="4">
        <v>1</v>
      </c>
      <c r="AL563" s="4">
        <v>0</v>
      </c>
      <c r="AM563" s="4">
        <v>0</v>
      </c>
      <c r="AN563" s="4">
        <v>0</v>
      </c>
      <c r="AO563" s="4">
        <v>0</v>
      </c>
      <c r="AP563" s="3" t="s">
        <v>58</v>
      </c>
      <c r="AQ563" s="3" t="s">
        <v>58</v>
      </c>
      <c r="AS563" s="6" t="str">
        <f>HYPERLINK("https://creighton-primo.hosted.exlibrisgroup.com/primo-explore/search?tab=default_tab&amp;search_scope=EVERYTHING&amp;vid=01CRU&amp;lang=en_US&amp;offset=0&amp;query=any,contains,991004781579702656","Catalog Record")</f>
        <v>Catalog Record</v>
      </c>
      <c r="AT563" s="6" t="str">
        <f>HYPERLINK("http://www.worldcat.org/oclc/46353425","WorldCat Record")</f>
        <v>WorldCat Record</v>
      </c>
      <c r="AU563" s="3" t="s">
        <v>7209</v>
      </c>
      <c r="AV563" s="3" t="s">
        <v>7210</v>
      </c>
      <c r="AW563" s="3" t="s">
        <v>7211</v>
      </c>
      <c r="AX563" s="3" t="s">
        <v>7211</v>
      </c>
      <c r="AY563" s="3" t="s">
        <v>7212</v>
      </c>
      <c r="AZ563" s="3" t="s">
        <v>75</v>
      </c>
      <c r="BB563" s="3" t="s">
        <v>7213</v>
      </c>
      <c r="BC563" s="3" t="s">
        <v>7214</v>
      </c>
      <c r="BD563" s="3" t="s">
        <v>7215</v>
      </c>
    </row>
    <row r="564" spans="1:56" ht="39" customHeight="1" x14ac:dyDescent="0.25">
      <c r="A564" s="7" t="s">
        <v>58</v>
      </c>
      <c r="B564" s="2" t="s">
        <v>7216</v>
      </c>
      <c r="C564" s="2" t="s">
        <v>7217</v>
      </c>
      <c r="D564" s="2" t="s">
        <v>7218</v>
      </c>
      <c r="F564" s="3" t="s">
        <v>58</v>
      </c>
      <c r="G564" s="3" t="s">
        <v>59</v>
      </c>
      <c r="H564" s="3" t="s">
        <v>58</v>
      </c>
      <c r="I564" s="3" t="s">
        <v>58</v>
      </c>
      <c r="J564" s="3" t="s">
        <v>60</v>
      </c>
      <c r="K564" s="2" t="s">
        <v>7219</v>
      </c>
      <c r="L564" s="2" t="s">
        <v>7220</v>
      </c>
      <c r="M564" s="3" t="s">
        <v>709</v>
      </c>
      <c r="O564" s="3" t="s">
        <v>65</v>
      </c>
      <c r="P564" s="3" t="s">
        <v>201</v>
      </c>
      <c r="R564" s="3" t="s">
        <v>68</v>
      </c>
      <c r="S564" s="4">
        <v>7</v>
      </c>
      <c r="T564" s="4">
        <v>7</v>
      </c>
      <c r="U564" s="5" t="s">
        <v>7221</v>
      </c>
      <c r="V564" s="5" t="s">
        <v>7221</v>
      </c>
      <c r="W564" s="5" t="s">
        <v>232</v>
      </c>
      <c r="X564" s="5" t="s">
        <v>232</v>
      </c>
      <c r="Y564" s="4">
        <v>244</v>
      </c>
      <c r="Z564" s="4">
        <v>204</v>
      </c>
      <c r="AA564" s="4">
        <v>204</v>
      </c>
      <c r="AB564" s="4">
        <v>2</v>
      </c>
      <c r="AC564" s="4">
        <v>2</v>
      </c>
      <c r="AD564" s="4">
        <v>17</v>
      </c>
      <c r="AE564" s="4">
        <v>17</v>
      </c>
      <c r="AF564" s="4">
        <v>6</v>
      </c>
      <c r="AG564" s="4">
        <v>6</v>
      </c>
      <c r="AH564" s="4">
        <v>4</v>
      </c>
      <c r="AI564" s="4">
        <v>4</v>
      </c>
      <c r="AJ564" s="4">
        <v>10</v>
      </c>
      <c r="AK564" s="4">
        <v>10</v>
      </c>
      <c r="AL564" s="4">
        <v>1</v>
      </c>
      <c r="AM564" s="4">
        <v>1</v>
      </c>
      <c r="AN564" s="4">
        <v>0</v>
      </c>
      <c r="AO564" s="4">
        <v>0</v>
      </c>
      <c r="AP564" s="3" t="s">
        <v>58</v>
      </c>
      <c r="AQ564" s="3" t="s">
        <v>58</v>
      </c>
      <c r="AS564" s="6" t="str">
        <f>HYPERLINK("https://creighton-primo.hosted.exlibrisgroup.com/primo-explore/search?tab=default_tab&amp;search_scope=EVERYTHING&amp;vid=01CRU&amp;lang=en_US&amp;offset=0&amp;query=any,contains,991001662309702656","Catalog Record")</f>
        <v>Catalog Record</v>
      </c>
      <c r="AT564" s="6" t="str">
        <f>HYPERLINK("http://www.worldcat.org/oclc/21194915","WorldCat Record")</f>
        <v>WorldCat Record</v>
      </c>
      <c r="AU564" s="3" t="s">
        <v>7222</v>
      </c>
      <c r="AV564" s="3" t="s">
        <v>7223</v>
      </c>
      <c r="AW564" s="3" t="s">
        <v>7224</v>
      </c>
      <c r="AX564" s="3" t="s">
        <v>7224</v>
      </c>
      <c r="AY564" s="3" t="s">
        <v>7225</v>
      </c>
      <c r="AZ564" s="3" t="s">
        <v>75</v>
      </c>
      <c r="BB564" s="3" t="s">
        <v>7226</v>
      </c>
      <c r="BC564" s="3" t="s">
        <v>7227</v>
      </c>
      <c r="BD564" s="3" t="s">
        <v>7228</v>
      </c>
    </row>
    <row r="565" spans="1:56" ht="39" customHeight="1" x14ac:dyDescent="0.25">
      <c r="A565" s="7" t="s">
        <v>58</v>
      </c>
      <c r="B565" s="2" t="s">
        <v>7229</v>
      </c>
      <c r="C565" s="2" t="s">
        <v>7230</v>
      </c>
      <c r="D565" s="2" t="s">
        <v>7231</v>
      </c>
      <c r="F565" s="3" t="s">
        <v>58</v>
      </c>
      <c r="G565" s="3" t="s">
        <v>59</v>
      </c>
      <c r="H565" s="3" t="s">
        <v>58</v>
      </c>
      <c r="I565" s="3" t="s">
        <v>58</v>
      </c>
      <c r="J565" s="3" t="s">
        <v>60</v>
      </c>
      <c r="K565" s="2" t="s">
        <v>7232</v>
      </c>
      <c r="L565" s="2" t="s">
        <v>7233</v>
      </c>
      <c r="M565" s="3" t="s">
        <v>374</v>
      </c>
      <c r="N565" s="2" t="s">
        <v>476</v>
      </c>
      <c r="O565" s="3" t="s">
        <v>65</v>
      </c>
      <c r="P565" s="3" t="s">
        <v>477</v>
      </c>
      <c r="R565" s="3" t="s">
        <v>68</v>
      </c>
      <c r="S565" s="4">
        <v>1</v>
      </c>
      <c r="T565" s="4">
        <v>1</v>
      </c>
      <c r="U565" s="5" t="s">
        <v>7234</v>
      </c>
      <c r="V565" s="5" t="s">
        <v>7234</v>
      </c>
      <c r="W565" s="5" t="s">
        <v>7235</v>
      </c>
      <c r="X565" s="5" t="s">
        <v>7235</v>
      </c>
      <c r="Y565" s="4">
        <v>186</v>
      </c>
      <c r="Z565" s="4">
        <v>171</v>
      </c>
      <c r="AA565" s="4">
        <v>191</v>
      </c>
      <c r="AB565" s="4">
        <v>2</v>
      </c>
      <c r="AC565" s="4">
        <v>3</v>
      </c>
      <c r="AD565" s="4">
        <v>5</v>
      </c>
      <c r="AE565" s="4">
        <v>7</v>
      </c>
      <c r="AF565" s="4">
        <v>1</v>
      </c>
      <c r="AG565" s="4">
        <v>1</v>
      </c>
      <c r="AH565" s="4">
        <v>0</v>
      </c>
      <c r="AI565" s="4">
        <v>0</v>
      </c>
      <c r="AJ565" s="4">
        <v>3</v>
      </c>
      <c r="AK565" s="4">
        <v>4</v>
      </c>
      <c r="AL565" s="4">
        <v>1</v>
      </c>
      <c r="AM565" s="4">
        <v>2</v>
      </c>
      <c r="AN565" s="4">
        <v>0</v>
      </c>
      <c r="AO565" s="4">
        <v>0</v>
      </c>
      <c r="AP565" s="3" t="s">
        <v>58</v>
      </c>
      <c r="AQ565" s="3" t="s">
        <v>58</v>
      </c>
      <c r="AS565" s="6" t="str">
        <f>HYPERLINK("https://creighton-primo.hosted.exlibrisgroup.com/primo-explore/search?tab=default_tab&amp;search_scope=EVERYTHING&amp;vid=01CRU&amp;lang=en_US&amp;offset=0&amp;query=any,contains,991002449229702656","Catalog Record")</f>
        <v>Catalog Record</v>
      </c>
      <c r="AT565" s="6" t="str">
        <f>HYPERLINK("http://www.worldcat.org/oclc/31936858","WorldCat Record")</f>
        <v>WorldCat Record</v>
      </c>
      <c r="AU565" s="3" t="s">
        <v>7236</v>
      </c>
      <c r="AV565" s="3" t="s">
        <v>7237</v>
      </c>
      <c r="AW565" s="3" t="s">
        <v>7238</v>
      </c>
      <c r="AX565" s="3" t="s">
        <v>7238</v>
      </c>
      <c r="AY565" s="3" t="s">
        <v>7239</v>
      </c>
      <c r="AZ565" s="3" t="s">
        <v>75</v>
      </c>
      <c r="BB565" s="3" t="s">
        <v>7240</v>
      </c>
      <c r="BC565" s="3" t="s">
        <v>7241</v>
      </c>
      <c r="BD565" s="3" t="s">
        <v>7242</v>
      </c>
    </row>
    <row r="566" spans="1:56" ht="39" customHeight="1" x14ac:dyDescent="0.25">
      <c r="A566" s="7" t="s">
        <v>58</v>
      </c>
      <c r="B566" s="2" t="s">
        <v>7243</v>
      </c>
      <c r="C566" s="2" t="s">
        <v>7244</v>
      </c>
      <c r="D566" s="2" t="s">
        <v>7245</v>
      </c>
      <c r="F566" s="3" t="s">
        <v>58</v>
      </c>
      <c r="G566" s="3" t="s">
        <v>59</v>
      </c>
      <c r="H566" s="3" t="s">
        <v>58</v>
      </c>
      <c r="I566" s="3" t="s">
        <v>58</v>
      </c>
      <c r="J566" s="3" t="s">
        <v>60</v>
      </c>
      <c r="L566" s="2" t="s">
        <v>7246</v>
      </c>
      <c r="M566" s="3" t="s">
        <v>289</v>
      </c>
      <c r="O566" s="3" t="s">
        <v>65</v>
      </c>
      <c r="P566" s="3" t="s">
        <v>477</v>
      </c>
      <c r="Q566" s="2" t="s">
        <v>7247</v>
      </c>
      <c r="R566" s="3" t="s">
        <v>68</v>
      </c>
      <c r="S566" s="4">
        <v>9</v>
      </c>
      <c r="T566" s="4">
        <v>9</v>
      </c>
      <c r="U566" s="5" t="s">
        <v>7248</v>
      </c>
      <c r="V566" s="5" t="s">
        <v>7248</v>
      </c>
      <c r="W566" s="5" t="s">
        <v>6881</v>
      </c>
      <c r="X566" s="5" t="s">
        <v>6881</v>
      </c>
      <c r="Y566" s="4">
        <v>189</v>
      </c>
      <c r="Z566" s="4">
        <v>158</v>
      </c>
      <c r="AA566" s="4">
        <v>161</v>
      </c>
      <c r="AB566" s="4">
        <v>2</v>
      </c>
      <c r="AC566" s="4">
        <v>2</v>
      </c>
      <c r="AD566" s="4">
        <v>23</v>
      </c>
      <c r="AE566" s="4">
        <v>23</v>
      </c>
      <c r="AF566" s="4">
        <v>7</v>
      </c>
      <c r="AG566" s="4">
        <v>7</v>
      </c>
      <c r="AH566" s="4">
        <v>6</v>
      </c>
      <c r="AI566" s="4">
        <v>6</v>
      </c>
      <c r="AJ566" s="4">
        <v>16</v>
      </c>
      <c r="AK566" s="4">
        <v>16</v>
      </c>
      <c r="AL566" s="4">
        <v>1</v>
      </c>
      <c r="AM566" s="4">
        <v>1</v>
      </c>
      <c r="AN566" s="4">
        <v>0</v>
      </c>
      <c r="AO566" s="4">
        <v>0</v>
      </c>
      <c r="AP566" s="3" t="s">
        <v>58</v>
      </c>
      <c r="AQ566" s="3" t="s">
        <v>132</v>
      </c>
      <c r="AR566" s="6" t="str">
        <f>HYPERLINK("http://catalog.hathitrust.org/Record/007117800","HathiTrust Record")</f>
        <v>HathiTrust Record</v>
      </c>
      <c r="AS566" s="6" t="str">
        <f>HYPERLINK("https://creighton-primo.hosted.exlibrisgroup.com/primo-explore/search?tab=default_tab&amp;search_scope=EVERYTHING&amp;vid=01CRU&amp;lang=en_US&amp;offset=0&amp;query=any,contains,991005123809702656","Catalog Record")</f>
        <v>Catalog Record</v>
      </c>
      <c r="AT566" s="6" t="str">
        <f>HYPERLINK("http://www.worldcat.org/oclc/7551425","WorldCat Record")</f>
        <v>WorldCat Record</v>
      </c>
      <c r="AU566" s="3" t="s">
        <v>7249</v>
      </c>
      <c r="AV566" s="3" t="s">
        <v>7250</v>
      </c>
      <c r="AW566" s="3" t="s">
        <v>7251</v>
      </c>
      <c r="AX566" s="3" t="s">
        <v>7251</v>
      </c>
      <c r="AY566" s="3" t="s">
        <v>7252</v>
      </c>
      <c r="AZ566" s="3" t="s">
        <v>75</v>
      </c>
      <c r="BB566" s="3" t="s">
        <v>7253</v>
      </c>
      <c r="BC566" s="3" t="s">
        <v>7254</v>
      </c>
      <c r="BD566" s="3" t="s">
        <v>7255</v>
      </c>
    </row>
    <row r="567" spans="1:56" ht="39" customHeight="1" x14ac:dyDescent="0.25">
      <c r="A567" s="7" t="s">
        <v>58</v>
      </c>
      <c r="B567" s="2" t="s">
        <v>7256</v>
      </c>
      <c r="C567" s="2" t="s">
        <v>7257</v>
      </c>
      <c r="D567" s="2" t="s">
        <v>7258</v>
      </c>
      <c r="F567" s="3" t="s">
        <v>58</v>
      </c>
      <c r="G567" s="3" t="s">
        <v>59</v>
      </c>
      <c r="H567" s="3" t="s">
        <v>58</v>
      </c>
      <c r="I567" s="3" t="s">
        <v>58</v>
      </c>
      <c r="J567" s="3" t="s">
        <v>60</v>
      </c>
      <c r="K567" s="2" t="s">
        <v>7259</v>
      </c>
      <c r="L567" s="2" t="s">
        <v>7260</v>
      </c>
      <c r="M567" s="3" t="s">
        <v>544</v>
      </c>
      <c r="O567" s="3" t="s">
        <v>65</v>
      </c>
      <c r="P567" s="3" t="s">
        <v>186</v>
      </c>
      <c r="R567" s="3" t="s">
        <v>68</v>
      </c>
      <c r="S567" s="4">
        <v>4</v>
      </c>
      <c r="T567" s="4">
        <v>4</v>
      </c>
      <c r="U567" s="5" t="s">
        <v>7261</v>
      </c>
      <c r="V567" s="5" t="s">
        <v>7261</v>
      </c>
      <c r="W567" s="5" t="s">
        <v>7262</v>
      </c>
      <c r="X567" s="5" t="s">
        <v>7262</v>
      </c>
      <c r="Y567" s="4">
        <v>20</v>
      </c>
      <c r="Z567" s="4">
        <v>15</v>
      </c>
      <c r="AA567" s="4">
        <v>75</v>
      </c>
      <c r="AB567" s="4">
        <v>1</v>
      </c>
      <c r="AC567" s="4">
        <v>1</v>
      </c>
      <c r="AD567" s="4">
        <v>1</v>
      </c>
      <c r="AE567" s="4">
        <v>5</v>
      </c>
      <c r="AF567" s="4">
        <v>0</v>
      </c>
      <c r="AG567" s="4">
        <v>1</v>
      </c>
      <c r="AH567" s="4">
        <v>1</v>
      </c>
      <c r="AI567" s="4">
        <v>2</v>
      </c>
      <c r="AJ567" s="4">
        <v>0</v>
      </c>
      <c r="AK567" s="4">
        <v>3</v>
      </c>
      <c r="AL567" s="4">
        <v>0</v>
      </c>
      <c r="AM567" s="4">
        <v>0</v>
      </c>
      <c r="AN567" s="4">
        <v>0</v>
      </c>
      <c r="AO567" s="4">
        <v>0</v>
      </c>
      <c r="AP567" s="3" t="s">
        <v>58</v>
      </c>
      <c r="AQ567" s="3" t="s">
        <v>58</v>
      </c>
      <c r="AS567" s="6" t="str">
        <f>HYPERLINK("https://creighton-primo.hosted.exlibrisgroup.com/primo-explore/search?tab=default_tab&amp;search_scope=EVERYTHING&amp;vid=01CRU&amp;lang=en_US&amp;offset=0&amp;query=any,contains,991003464229702656","Catalog Record")</f>
        <v>Catalog Record</v>
      </c>
      <c r="AT567" s="6" t="str">
        <f>HYPERLINK("http://www.worldcat.org/oclc/43452959","WorldCat Record")</f>
        <v>WorldCat Record</v>
      </c>
      <c r="AU567" s="3" t="s">
        <v>7263</v>
      </c>
      <c r="AV567" s="3" t="s">
        <v>7264</v>
      </c>
      <c r="AW567" s="3" t="s">
        <v>7265</v>
      </c>
      <c r="AX567" s="3" t="s">
        <v>7265</v>
      </c>
      <c r="AY567" s="3" t="s">
        <v>7266</v>
      </c>
      <c r="AZ567" s="3" t="s">
        <v>75</v>
      </c>
      <c r="BC567" s="3" t="s">
        <v>7267</v>
      </c>
      <c r="BD567" s="3" t="s">
        <v>7268</v>
      </c>
    </row>
    <row r="568" spans="1:56" ht="39" customHeight="1" x14ac:dyDescent="0.25">
      <c r="A568" s="7" t="s">
        <v>58</v>
      </c>
      <c r="B568" s="2" t="s">
        <v>7269</v>
      </c>
      <c r="C568" s="2" t="s">
        <v>7270</v>
      </c>
      <c r="D568" s="2" t="s">
        <v>7271</v>
      </c>
      <c r="F568" s="3" t="s">
        <v>58</v>
      </c>
      <c r="G568" s="3" t="s">
        <v>59</v>
      </c>
      <c r="H568" s="3" t="s">
        <v>58</v>
      </c>
      <c r="I568" s="3" t="s">
        <v>58</v>
      </c>
      <c r="J568" s="3" t="s">
        <v>60</v>
      </c>
      <c r="K568" s="2" t="s">
        <v>7272</v>
      </c>
      <c r="L568" s="2" t="s">
        <v>6878</v>
      </c>
      <c r="M568" s="3" t="s">
        <v>759</v>
      </c>
      <c r="O568" s="3" t="s">
        <v>65</v>
      </c>
      <c r="P568" s="3" t="s">
        <v>186</v>
      </c>
      <c r="R568" s="3" t="s">
        <v>68</v>
      </c>
      <c r="S568" s="4">
        <v>7</v>
      </c>
      <c r="T568" s="4">
        <v>7</v>
      </c>
      <c r="U568" s="5" t="s">
        <v>7273</v>
      </c>
      <c r="V568" s="5" t="s">
        <v>7273</v>
      </c>
      <c r="W568" s="5" t="s">
        <v>6881</v>
      </c>
      <c r="X568" s="5" t="s">
        <v>6881</v>
      </c>
      <c r="Y568" s="4">
        <v>129</v>
      </c>
      <c r="Z568" s="4">
        <v>113</v>
      </c>
      <c r="AA568" s="4">
        <v>118</v>
      </c>
      <c r="AB568" s="4">
        <v>2</v>
      </c>
      <c r="AC568" s="4">
        <v>2</v>
      </c>
      <c r="AD568" s="4">
        <v>10</v>
      </c>
      <c r="AE568" s="4">
        <v>10</v>
      </c>
      <c r="AF568" s="4">
        <v>2</v>
      </c>
      <c r="AG568" s="4">
        <v>2</v>
      </c>
      <c r="AH568" s="4">
        <v>2</v>
      </c>
      <c r="AI568" s="4">
        <v>2</v>
      </c>
      <c r="AJ568" s="4">
        <v>8</v>
      </c>
      <c r="AK568" s="4">
        <v>8</v>
      </c>
      <c r="AL568" s="4">
        <v>0</v>
      </c>
      <c r="AM568" s="4">
        <v>0</v>
      </c>
      <c r="AN568" s="4">
        <v>0</v>
      </c>
      <c r="AO568" s="4">
        <v>0</v>
      </c>
      <c r="AP568" s="3" t="s">
        <v>58</v>
      </c>
      <c r="AQ568" s="3" t="s">
        <v>58</v>
      </c>
      <c r="AS568" s="6" t="str">
        <f>HYPERLINK("https://creighton-primo.hosted.exlibrisgroup.com/primo-explore/search?tab=default_tab&amp;search_scope=EVERYTHING&amp;vid=01CRU&amp;lang=en_US&amp;offset=0&amp;query=any,contains,991001341299702656","Catalog Record")</f>
        <v>Catalog Record</v>
      </c>
      <c r="AT568" s="6" t="str">
        <f>HYPERLINK("http://www.worldcat.org/oclc/18382717","WorldCat Record")</f>
        <v>WorldCat Record</v>
      </c>
      <c r="AU568" s="3" t="s">
        <v>7274</v>
      </c>
      <c r="AV568" s="3" t="s">
        <v>7275</v>
      </c>
      <c r="AW568" s="3" t="s">
        <v>7276</v>
      </c>
      <c r="AX568" s="3" t="s">
        <v>7276</v>
      </c>
      <c r="AY568" s="3" t="s">
        <v>7277</v>
      </c>
      <c r="AZ568" s="3" t="s">
        <v>75</v>
      </c>
      <c r="BB568" s="3" t="s">
        <v>7278</v>
      </c>
      <c r="BC568" s="3" t="s">
        <v>7279</v>
      </c>
      <c r="BD568" s="3" t="s">
        <v>7280</v>
      </c>
    </row>
    <row r="569" spans="1:56" ht="39" customHeight="1" x14ac:dyDescent="0.25">
      <c r="A569" s="7" t="s">
        <v>58</v>
      </c>
      <c r="B569" s="2" t="s">
        <v>7281</v>
      </c>
      <c r="C569" s="2" t="s">
        <v>7282</v>
      </c>
      <c r="D569" s="2" t="s">
        <v>7283</v>
      </c>
      <c r="F569" s="3" t="s">
        <v>58</v>
      </c>
      <c r="G569" s="3" t="s">
        <v>59</v>
      </c>
      <c r="H569" s="3" t="s">
        <v>58</v>
      </c>
      <c r="I569" s="3" t="s">
        <v>58</v>
      </c>
      <c r="J569" s="3" t="s">
        <v>60</v>
      </c>
      <c r="K569" s="2" t="s">
        <v>604</v>
      </c>
      <c r="L569" s="2" t="s">
        <v>7284</v>
      </c>
      <c r="M569" s="3" t="s">
        <v>361</v>
      </c>
      <c r="O569" s="3" t="s">
        <v>65</v>
      </c>
      <c r="P569" s="3" t="s">
        <v>186</v>
      </c>
      <c r="R569" s="3" t="s">
        <v>68</v>
      </c>
      <c r="S569" s="4">
        <v>5</v>
      </c>
      <c r="T569" s="4">
        <v>5</v>
      </c>
      <c r="U569" s="5" t="s">
        <v>7285</v>
      </c>
      <c r="V569" s="5" t="s">
        <v>7285</v>
      </c>
      <c r="W569" s="5" t="s">
        <v>3369</v>
      </c>
      <c r="X569" s="5" t="s">
        <v>3369</v>
      </c>
      <c r="Y569" s="4">
        <v>334</v>
      </c>
      <c r="Z569" s="4">
        <v>287</v>
      </c>
      <c r="AA569" s="4">
        <v>318</v>
      </c>
      <c r="AB569" s="4">
        <v>2</v>
      </c>
      <c r="AC569" s="4">
        <v>3</v>
      </c>
      <c r="AD569" s="4">
        <v>20</v>
      </c>
      <c r="AE569" s="4">
        <v>24</v>
      </c>
      <c r="AF569" s="4">
        <v>8</v>
      </c>
      <c r="AG569" s="4">
        <v>11</v>
      </c>
      <c r="AH569" s="4">
        <v>5</v>
      </c>
      <c r="AI569" s="4">
        <v>5</v>
      </c>
      <c r="AJ569" s="4">
        <v>12</v>
      </c>
      <c r="AK569" s="4">
        <v>12</v>
      </c>
      <c r="AL569" s="4">
        <v>0</v>
      </c>
      <c r="AM569" s="4">
        <v>1</v>
      </c>
      <c r="AN569" s="4">
        <v>0</v>
      </c>
      <c r="AO569" s="4">
        <v>0</v>
      </c>
      <c r="AP569" s="3" t="s">
        <v>58</v>
      </c>
      <c r="AQ569" s="3" t="s">
        <v>58</v>
      </c>
      <c r="AS569" s="6" t="str">
        <f>HYPERLINK("https://creighton-primo.hosted.exlibrisgroup.com/primo-explore/search?tab=default_tab&amp;search_scope=EVERYTHING&amp;vid=01CRU&amp;lang=en_US&amp;offset=0&amp;query=any,contains,991000124339702656","Catalog Record")</f>
        <v>Catalog Record</v>
      </c>
      <c r="AT569" s="6" t="str">
        <f>HYPERLINK("http://www.worldcat.org/oclc/9082118","WorldCat Record")</f>
        <v>WorldCat Record</v>
      </c>
      <c r="AU569" s="3" t="s">
        <v>7286</v>
      </c>
      <c r="AV569" s="3" t="s">
        <v>7287</v>
      </c>
      <c r="AW569" s="3" t="s">
        <v>7288</v>
      </c>
      <c r="AX569" s="3" t="s">
        <v>7288</v>
      </c>
      <c r="AY569" s="3" t="s">
        <v>7289</v>
      </c>
      <c r="AZ569" s="3" t="s">
        <v>75</v>
      </c>
      <c r="BB569" s="3" t="s">
        <v>7290</v>
      </c>
      <c r="BC569" s="3" t="s">
        <v>7291</v>
      </c>
      <c r="BD569" s="3" t="s">
        <v>7292</v>
      </c>
    </row>
    <row r="570" spans="1:56" ht="39" customHeight="1" x14ac:dyDescent="0.25">
      <c r="A570" s="7" t="s">
        <v>58</v>
      </c>
      <c r="B570" s="2" t="s">
        <v>7293</v>
      </c>
      <c r="C570" s="2" t="s">
        <v>7294</v>
      </c>
      <c r="D570" s="2" t="s">
        <v>7295</v>
      </c>
      <c r="F570" s="3" t="s">
        <v>58</v>
      </c>
      <c r="G570" s="3" t="s">
        <v>59</v>
      </c>
      <c r="H570" s="3" t="s">
        <v>58</v>
      </c>
      <c r="I570" s="3" t="s">
        <v>58</v>
      </c>
      <c r="J570" s="3" t="s">
        <v>60</v>
      </c>
      <c r="K570" s="2" t="s">
        <v>604</v>
      </c>
      <c r="L570" s="2" t="s">
        <v>5187</v>
      </c>
      <c r="M570" s="3" t="s">
        <v>289</v>
      </c>
      <c r="O570" s="3" t="s">
        <v>65</v>
      </c>
      <c r="P570" s="3" t="s">
        <v>186</v>
      </c>
      <c r="R570" s="3" t="s">
        <v>68</v>
      </c>
      <c r="S570" s="4">
        <v>3</v>
      </c>
      <c r="T570" s="4">
        <v>3</v>
      </c>
      <c r="U570" s="5" t="s">
        <v>7296</v>
      </c>
      <c r="V570" s="5" t="s">
        <v>7296</v>
      </c>
      <c r="W570" s="5" t="s">
        <v>3369</v>
      </c>
      <c r="X570" s="5" t="s">
        <v>3369</v>
      </c>
      <c r="Y570" s="4">
        <v>276</v>
      </c>
      <c r="Z570" s="4">
        <v>238</v>
      </c>
      <c r="AA570" s="4">
        <v>239</v>
      </c>
      <c r="AB570" s="4">
        <v>3</v>
      </c>
      <c r="AC570" s="4">
        <v>3</v>
      </c>
      <c r="AD570" s="4">
        <v>23</v>
      </c>
      <c r="AE570" s="4">
        <v>23</v>
      </c>
      <c r="AF570" s="4">
        <v>8</v>
      </c>
      <c r="AG570" s="4">
        <v>8</v>
      </c>
      <c r="AH570" s="4">
        <v>5</v>
      </c>
      <c r="AI570" s="4">
        <v>5</v>
      </c>
      <c r="AJ570" s="4">
        <v>16</v>
      </c>
      <c r="AK570" s="4">
        <v>16</v>
      </c>
      <c r="AL570" s="4">
        <v>1</v>
      </c>
      <c r="AM570" s="4">
        <v>1</v>
      </c>
      <c r="AN570" s="4">
        <v>0</v>
      </c>
      <c r="AO570" s="4">
        <v>0</v>
      </c>
      <c r="AP570" s="3" t="s">
        <v>58</v>
      </c>
      <c r="AQ570" s="3" t="s">
        <v>58</v>
      </c>
      <c r="AS570" s="6" t="str">
        <f>HYPERLINK("https://creighton-primo.hosted.exlibrisgroup.com/primo-explore/search?tab=default_tab&amp;search_scope=EVERYTHING&amp;vid=01CRU&amp;lang=en_US&amp;offset=0&amp;query=any,contains,991005080019702656","Catalog Record")</f>
        <v>Catalog Record</v>
      </c>
      <c r="AT570" s="6" t="str">
        <f>HYPERLINK("http://www.worldcat.org/oclc/7170685","WorldCat Record")</f>
        <v>WorldCat Record</v>
      </c>
      <c r="AU570" s="3" t="s">
        <v>7297</v>
      </c>
      <c r="AV570" s="3" t="s">
        <v>7298</v>
      </c>
      <c r="AW570" s="3" t="s">
        <v>7299</v>
      </c>
      <c r="AX570" s="3" t="s">
        <v>7299</v>
      </c>
      <c r="AY570" s="3" t="s">
        <v>7300</v>
      </c>
      <c r="AZ570" s="3" t="s">
        <v>75</v>
      </c>
      <c r="BB570" s="3" t="s">
        <v>7301</v>
      </c>
      <c r="BC570" s="3" t="s">
        <v>7302</v>
      </c>
      <c r="BD570" s="3" t="s">
        <v>7303</v>
      </c>
    </row>
    <row r="571" spans="1:56" ht="39" customHeight="1" x14ac:dyDescent="0.25">
      <c r="A571" s="7" t="s">
        <v>58</v>
      </c>
      <c r="B571" s="2" t="s">
        <v>7304</v>
      </c>
      <c r="C571" s="2" t="s">
        <v>7305</v>
      </c>
      <c r="D571" s="2" t="s">
        <v>7306</v>
      </c>
      <c r="F571" s="3" t="s">
        <v>58</v>
      </c>
      <c r="G571" s="3" t="s">
        <v>59</v>
      </c>
      <c r="H571" s="3" t="s">
        <v>58</v>
      </c>
      <c r="I571" s="3" t="s">
        <v>58</v>
      </c>
      <c r="J571" s="3" t="s">
        <v>60</v>
      </c>
      <c r="K571" s="2" t="s">
        <v>7307</v>
      </c>
      <c r="L571" s="2" t="s">
        <v>7308</v>
      </c>
      <c r="M571" s="3" t="s">
        <v>544</v>
      </c>
      <c r="O571" s="3" t="s">
        <v>65</v>
      </c>
      <c r="P571" s="3" t="s">
        <v>967</v>
      </c>
      <c r="R571" s="3" t="s">
        <v>68</v>
      </c>
      <c r="S571" s="4">
        <v>2</v>
      </c>
      <c r="T571" s="4">
        <v>2</v>
      </c>
      <c r="U571" s="5" t="s">
        <v>7309</v>
      </c>
      <c r="V571" s="5" t="s">
        <v>7309</v>
      </c>
      <c r="W571" s="5" t="s">
        <v>5279</v>
      </c>
      <c r="X571" s="5" t="s">
        <v>5279</v>
      </c>
      <c r="Y571" s="4">
        <v>149</v>
      </c>
      <c r="Z571" s="4">
        <v>130</v>
      </c>
      <c r="AA571" s="4">
        <v>135</v>
      </c>
      <c r="AB571" s="4">
        <v>1</v>
      </c>
      <c r="AC571" s="4">
        <v>1</v>
      </c>
      <c r="AD571" s="4">
        <v>6</v>
      </c>
      <c r="AE571" s="4">
        <v>6</v>
      </c>
      <c r="AF571" s="4">
        <v>4</v>
      </c>
      <c r="AG571" s="4">
        <v>4</v>
      </c>
      <c r="AH571" s="4">
        <v>1</v>
      </c>
      <c r="AI571" s="4">
        <v>1</v>
      </c>
      <c r="AJ571" s="4">
        <v>2</v>
      </c>
      <c r="AK571" s="4">
        <v>2</v>
      </c>
      <c r="AL571" s="4">
        <v>0</v>
      </c>
      <c r="AM571" s="4">
        <v>0</v>
      </c>
      <c r="AN571" s="4">
        <v>0</v>
      </c>
      <c r="AO571" s="4">
        <v>0</v>
      </c>
      <c r="AP571" s="3" t="s">
        <v>58</v>
      </c>
      <c r="AQ571" s="3" t="s">
        <v>58</v>
      </c>
      <c r="AS571" s="6" t="str">
        <f>HYPERLINK("https://creighton-primo.hosted.exlibrisgroup.com/primo-explore/search?tab=default_tab&amp;search_scope=EVERYTHING&amp;vid=01CRU&amp;lang=en_US&amp;offset=0&amp;query=any,contains,991004780999702656","Catalog Record")</f>
        <v>Catalog Record</v>
      </c>
      <c r="AT571" s="6" t="str">
        <f>HYPERLINK("http://www.worldcat.org/oclc/41870928","WorldCat Record")</f>
        <v>WorldCat Record</v>
      </c>
      <c r="AU571" s="3" t="s">
        <v>7310</v>
      </c>
      <c r="AV571" s="3" t="s">
        <v>7311</v>
      </c>
      <c r="AW571" s="3" t="s">
        <v>7312</v>
      </c>
      <c r="AX571" s="3" t="s">
        <v>7312</v>
      </c>
      <c r="AY571" s="3" t="s">
        <v>7313</v>
      </c>
      <c r="AZ571" s="3" t="s">
        <v>75</v>
      </c>
      <c r="BB571" s="3" t="s">
        <v>7314</v>
      </c>
      <c r="BC571" s="3" t="s">
        <v>7315</v>
      </c>
      <c r="BD571" s="3" t="s">
        <v>7316</v>
      </c>
    </row>
    <row r="572" spans="1:56" ht="39" customHeight="1" x14ac:dyDescent="0.25">
      <c r="A572" s="7" t="s">
        <v>58</v>
      </c>
      <c r="B572" s="2" t="s">
        <v>7317</v>
      </c>
      <c r="C572" s="2" t="s">
        <v>7318</v>
      </c>
      <c r="D572" s="2" t="s">
        <v>7319</v>
      </c>
      <c r="F572" s="3" t="s">
        <v>58</v>
      </c>
      <c r="G572" s="3" t="s">
        <v>59</v>
      </c>
      <c r="H572" s="3" t="s">
        <v>58</v>
      </c>
      <c r="I572" s="3" t="s">
        <v>58</v>
      </c>
      <c r="J572" s="3" t="s">
        <v>60</v>
      </c>
      <c r="K572" s="2" t="s">
        <v>7320</v>
      </c>
      <c r="L572" s="2" t="s">
        <v>7321</v>
      </c>
      <c r="M572" s="3" t="s">
        <v>374</v>
      </c>
      <c r="O572" s="3" t="s">
        <v>65</v>
      </c>
      <c r="P572" s="3" t="s">
        <v>66</v>
      </c>
      <c r="R572" s="3" t="s">
        <v>68</v>
      </c>
      <c r="S572" s="4">
        <v>1</v>
      </c>
      <c r="T572" s="4">
        <v>1</v>
      </c>
      <c r="U572" s="5" t="s">
        <v>7322</v>
      </c>
      <c r="V572" s="5" t="s">
        <v>7322</v>
      </c>
      <c r="W572" s="5" t="s">
        <v>7322</v>
      </c>
      <c r="X572" s="5" t="s">
        <v>7322</v>
      </c>
      <c r="Y572" s="4">
        <v>77</v>
      </c>
      <c r="Z572" s="4">
        <v>44</v>
      </c>
      <c r="AA572" s="4">
        <v>44</v>
      </c>
      <c r="AB572" s="4">
        <v>1</v>
      </c>
      <c r="AC572" s="4">
        <v>1</v>
      </c>
      <c r="AD572" s="4">
        <v>4</v>
      </c>
      <c r="AE572" s="4">
        <v>4</v>
      </c>
      <c r="AF572" s="4">
        <v>2</v>
      </c>
      <c r="AG572" s="4">
        <v>2</v>
      </c>
      <c r="AH572" s="4">
        <v>0</v>
      </c>
      <c r="AI572" s="4">
        <v>0</v>
      </c>
      <c r="AJ572" s="4">
        <v>3</v>
      </c>
      <c r="AK572" s="4">
        <v>3</v>
      </c>
      <c r="AL572" s="4">
        <v>0</v>
      </c>
      <c r="AM572" s="4">
        <v>0</v>
      </c>
      <c r="AN572" s="4">
        <v>0</v>
      </c>
      <c r="AO572" s="4">
        <v>0</v>
      </c>
      <c r="AP572" s="3" t="s">
        <v>58</v>
      </c>
      <c r="AQ572" s="3" t="s">
        <v>58</v>
      </c>
      <c r="AS572" s="6" t="str">
        <f>HYPERLINK("https://creighton-primo.hosted.exlibrisgroup.com/primo-explore/search?tab=default_tab&amp;search_scope=EVERYTHING&amp;vid=01CRU&amp;lang=en_US&amp;offset=0&amp;query=any,contains,991005018169702656","Catalog Record")</f>
        <v>Catalog Record</v>
      </c>
      <c r="AT572" s="6" t="str">
        <f>HYPERLINK("http://www.worldcat.org/oclc/33950060","WorldCat Record")</f>
        <v>WorldCat Record</v>
      </c>
      <c r="AU572" s="3" t="s">
        <v>7323</v>
      </c>
      <c r="AV572" s="3" t="s">
        <v>7324</v>
      </c>
      <c r="AW572" s="3" t="s">
        <v>7325</v>
      </c>
      <c r="AX572" s="3" t="s">
        <v>7325</v>
      </c>
      <c r="AY572" s="3" t="s">
        <v>7326</v>
      </c>
      <c r="AZ572" s="3" t="s">
        <v>75</v>
      </c>
      <c r="BB572" s="3" t="s">
        <v>7327</v>
      </c>
      <c r="BC572" s="3" t="s">
        <v>7328</v>
      </c>
      <c r="BD572" s="3" t="s">
        <v>7329</v>
      </c>
    </row>
    <row r="573" spans="1:56" ht="39" customHeight="1" x14ac:dyDescent="0.25">
      <c r="A573" s="7" t="s">
        <v>58</v>
      </c>
      <c r="B573" s="2" t="s">
        <v>7330</v>
      </c>
      <c r="C573" s="2" t="s">
        <v>7331</v>
      </c>
      <c r="D573" s="2" t="s">
        <v>7332</v>
      </c>
      <c r="F573" s="3" t="s">
        <v>58</v>
      </c>
      <c r="G573" s="3" t="s">
        <v>59</v>
      </c>
      <c r="H573" s="3" t="s">
        <v>58</v>
      </c>
      <c r="I573" s="3" t="s">
        <v>58</v>
      </c>
      <c r="J573" s="3" t="s">
        <v>60</v>
      </c>
      <c r="K573" s="2" t="s">
        <v>7333</v>
      </c>
      <c r="L573" s="2" t="s">
        <v>7334</v>
      </c>
      <c r="M573" s="3" t="s">
        <v>544</v>
      </c>
      <c r="O573" s="3" t="s">
        <v>65</v>
      </c>
      <c r="P573" s="3" t="s">
        <v>304</v>
      </c>
      <c r="R573" s="3" t="s">
        <v>68</v>
      </c>
      <c r="S573" s="4">
        <v>7</v>
      </c>
      <c r="T573" s="4">
        <v>7</v>
      </c>
      <c r="U573" s="5" t="s">
        <v>7335</v>
      </c>
      <c r="V573" s="5" t="s">
        <v>7335</v>
      </c>
      <c r="W573" s="5" t="s">
        <v>3216</v>
      </c>
      <c r="X573" s="5" t="s">
        <v>3216</v>
      </c>
      <c r="Y573" s="4">
        <v>106</v>
      </c>
      <c r="Z573" s="4">
        <v>98</v>
      </c>
      <c r="AA573" s="4">
        <v>103</v>
      </c>
      <c r="AB573" s="4">
        <v>2</v>
      </c>
      <c r="AC573" s="4">
        <v>2</v>
      </c>
      <c r="AD573" s="4">
        <v>7</v>
      </c>
      <c r="AE573" s="4">
        <v>7</v>
      </c>
      <c r="AF573" s="4">
        <v>2</v>
      </c>
      <c r="AG573" s="4">
        <v>2</v>
      </c>
      <c r="AH573" s="4">
        <v>2</v>
      </c>
      <c r="AI573" s="4">
        <v>2</v>
      </c>
      <c r="AJ573" s="4">
        <v>4</v>
      </c>
      <c r="AK573" s="4">
        <v>4</v>
      </c>
      <c r="AL573" s="4">
        <v>0</v>
      </c>
      <c r="AM573" s="4">
        <v>0</v>
      </c>
      <c r="AN573" s="4">
        <v>0</v>
      </c>
      <c r="AO573" s="4">
        <v>0</v>
      </c>
      <c r="AP573" s="3" t="s">
        <v>58</v>
      </c>
      <c r="AQ573" s="3" t="s">
        <v>58</v>
      </c>
      <c r="AS573" s="6" t="str">
        <f>HYPERLINK("https://creighton-primo.hosted.exlibrisgroup.com/primo-explore/search?tab=default_tab&amp;search_scope=EVERYTHING&amp;vid=01CRU&amp;lang=en_US&amp;offset=0&amp;query=any,contains,991003039829702656","Catalog Record")</f>
        <v>Catalog Record</v>
      </c>
      <c r="AT573" s="6" t="str">
        <f>HYPERLINK("http://www.worldcat.org/oclc/42019239","WorldCat Record")</f>
        <v>WorldCat Record</v>
      </c>
      <c r="AU573" s="3" t="s">
        <v>7336</v>
      </c>
      <c r="AV573" s="3" t="s">
        <v>7337</v>
      </c>
      <c r="AW573" s="3" t="s">
        <v>7338</v>
      </c>
      <c r="AX573" s="3" t="s">
        <v>7338</v>
      </c>
      <c r="AY573" s="3" t="s">
        <v>7339</v>
      </c>
      <c r="AZ573" s="3" t="s">
        <v>75</v>
      </c>
      <c r="BB573" s="3" t="s">
        <v>7340</v>
      </c>
      <c r="BC573" s="3" t="s">
        <v>7341</v>
      </c>
      <c r="BD573" s="3" t="s">
        <v>7342</v>
      </c>
    </row>
    <row r="574" spans="1:56" ht="39" customHeight="1" x14ac:dyDescent="0.25">
      <c r="A574" s="7" t="s">
        <v>58</v>
      </c>
      <c r="B574" s="2" t="s">
        <v>7343</v>
      </c>
      <c r="C574" s="2" t="s">
        <v>7344</v>
      </c>
      <c r="D574" s="2" t="s">
        <v>7345</v>
      </c>
      <c r="F574" s="3" t="s">
        <v>58</v>
      </c>
      <c r="G574" s="3" t="s">
        <v>59</v>
      </c>
      <c r="H574" s="3" t="s">
        <v>58</v>
      </c>
      <c r="I574" s="3" t="s">
        <v>58</v>
      </c>
      <c r="J574" s="3" t="s">
        <v>60</v>
      </c>
      <c r="L574" s="2" t="s">
        <v>7033</v>
      </c>
      <c r="M574" s="3" t="s">
        <v>462</v>
      </c>
      <c r="N574" s="2" t="s">
        <v>476</v>
      </c>
      <c r="O574" s="3" t="s">
        <v>65</v>
      </c>
      <c r="P574" s="3" t="s">
        <v>477</v>
      </c>
      <c r="R574" s="3" t="s">
        <v>68</v>
      </c>
      <c r="S574" s="4">
        <v>6</v>
      </c>
      <c r="T574" s="4">
        <v>6</v>
      </c>
      <c r="U574" s="5" t="s">
        <v>7261</v>
      </c>
      <c r="V574" s="5" t="s">
        <v>7261</v>
      </c>
      <c r="W574" s="5" t="s">
        <v>6881</v>
      </c>
      <c r="X574" s="5" t="s">
        <v>6881</v>
      </c>
      <c r="Y574" s="4">
        <v>372</v>
      </c>
      <c r="Z574" s="4">
        <v>336</v>
      </c>
      <c r="AA574" s="4">
        <v>337</v>
      </c>
      <c r="AB574" s="4">
        <v>2</v>
      </c>
      <c r="AC574" s="4">
        <v>2</v>
      </c>
      <c r="AD574" s="4">
        <v>14</v>
      </c>
      <c r="AE574" s="4">
        <v>14</v>
      </c>
      <c r="AF574" s="4">
        <v>5</v>
      </c>
      <c r="AG574" s="4">
        <v>5</v>
      </c>
      <c r="AH574" s="4">
        <v>2</v>
      </c>
      <c r="AI574" s="4">
        <v>2</v>
      </c>
      <c r="AJ574" s="4">
        <v>11</v>
      </c>
      <c r="AK574" s="4">
        <v>11</v>
      </c>
      <c r="AL574" s="4">
        <v>0</v>
      </c>
      <c r="AM574" s="4">
        <v>0</v>
      </c>
      <c r="AN574" s="4">
        <v>0</v>
      </c>
      <c r="AO574" s="4">
        <v>0</v>
      </c>
      <c r="AP574" s="3" t="s">
        <v>58</v>
      </c>
      <c r="AQ574" s="3" t="s">
        <v>132</v>
      </c>
      <c r="AR574" s="6" t="str">
        <f>HYPERLINK("http://catalog.hathitrust.org/Record/000325884","HathiTrust Record")</f>
        <v>HathiTrust Record</v>
      </c>
      <c r="AS574" s="6" t="str">
        <f>HYPERLINK("https://creighton-primo.hosted.exlibrisgroup.com/primo-explore/search?tab=default_tab&amp;search_scope=EVERYTHING&amp;vid=01CRU&amp;lang=en_US&amp;offset=0&amp;query=any,contains,991000353629702656","Catalog Record")</f>
        <v>Catalog Record</v>
      </c>
      <c r="AT574" s="6" t="str">
        <f>HYPERLINK("http://www.worldcat.org/oclc/10322823","WorldCat Record")</f>
        <v>WorldCat Record</v>
      </c>
      <c r="AU574" s="3" t="s">
        <v>7346</v>
      </c>
      <c r="AV574" s="3" t="s">
        <v>7347</v>
      </c>
      <c r="AW574" s="3" t="s">
        <v>7348</v>
      </c>
      <c r="AX574" s="3" t="s">
        <v>7348</v>
      </c>
      <c r="AY574" s="3" t="s">
        <v>7349</v>
      </c>
      <c r="AZ574" s="3" t="s">
        <v>75</v>
      </c>
      <c r="BB574" s="3" t="s">
        <v>7350</v>
      </c>
      <c r="BC574" s="3" t="s">
        <v>7351</v>
      </c>
      <c r="BD574" s="3" t="s">
        <v>7352</v>
      </c>
    </row>
    <row r="575" spans="1:56" ht="39" customHeight="1" x14ac:dyDescent="0.25">
      <c r="A575" s="7" t="s">
        <v>58</v>
      </c>
      <c r="B575" s="2" t="s">
        <v>7353</v>
      </c>
      <c r="C575" s="2" t="s">
        <v>7354</v>
      </c>
      <c r="D575" s="2" t="s">
        <v>7355</v>
      </c>
      <c r="F575" s="3" t="s">
        <v>58</v>
      </c>
      <c r="G575" s="3" t="s">
        <v>59</v>
      </c>
      <c r="H575" s="3" t="s">
        <v>58</v>
      </c>
      <c r="I575" s="3" t="s">
        <v>58</v>
      </c>
      <c r="J575" s="3" t="s">
        <v>60</v>
      </c>
      <c r="K575" s="2" t="s">
        <v>7356</v>
      </c>
      <c r="L575" s="2" t="s">
        <v>7357</v>
      </c>
      <c r="M575" s="3" t="s">
        <v>1261</v>
      </c>
      <c r="O575" s="3" t="s">
        <v>65</v>
      </c>
      <c r="P575" s="3" t="s">
        <v>2664</v>
      </c>
      <c r="R575" s="3" t="s">
        <v>68</v>
      </c>
      <c r="S575" s="4">
        <v>3</v>
      </c>
      <c r="T575" s="4">
        <v>3</v>
      </c>
      <c r="U575" s="5" t="s">
        <v>7358</v>
      </c>
      <c r="V575" s="5" t="s">
        <v>7358</v>
      </c>
      <c r="W575" s="5" t="s">
        <v>7359</v>
      </c>
      <c r="X575" s="5" t="s">
        <v>7359</v>
      </c>
      <c r="Y575" s="4">
        <v>929</v>
      </c>
      <c r="Z575" s="4">
        <v>908</v>
      </c>
      <c r="AA575" s="4">
        <v>1090</v>
      </c>
      <c r="AB575" s="4">
        <v>16</v>
      </c>
      <c r="AC575" s="4">
        <v>16</v>
      </c>
      <c r="AD575" s="4">
        <v>6</v>
      </c>
      <c r="AE575" s="4">
        <v>6</v>
      </c>
      <c r="AF575" s="4">
        <v>4</v>
      </c>
      <c r="AG575" s="4">
        <v>4</v>
      </c>
      <c r="AH575" s="4">
        <v>0</v>
      </c>
      <c r="AI575" s="4">
        <v>0</v>
      </c>
      <c r="AJ575" s="4">
        <v>1</v>
      </c>
      <c r="AK575" s="4">
        <v>1</v>
      </c>
      <c r="AL575" s="4">
        <v>2</v>
      </c>
      <c r="AM575" s="4">
        <v>2</v>
      </c>
      <c r="AN575" s="4">
        <v>0</v>
      </c>
      <c r="AO575" s="4">
        <v>0</v>
      </c>
      <c r="AP575" s="3" t="s">
        <v>58</v>
      </c>
      <c r="AQ575" s="3" t="s">
        <v>58</v>
      </c>
      <c r="AS575" s="6" t="str">
        <f>HYPERLINK("https://creighton-primo.hosted.exlibrisgroup.com/primo-explore/search?tab=default_tab&amp;search_scope=EVERYTHING&amp;vid=01CRU&amp;lang=en_US&amp;offset=0&amp;query=any,contains,991003626439702656","Catalog Record")</f>
        <v>Catalog Record</v>
      </c>
      <c r="AT575" s="6" t="str">
        <f>HYPERLINK("http://www.worldcat.org/oclc/23901106","WorldCat Record")</f>
        <v>WorldCat Record</v>
      </c>
      <c r="AU575" s="3" t="s">
        <v>7360</v>
      </c>
      <c r="AV575" s="3" t="s">
        <v>7361</v>
      </c>
      <c r="AW575" s="3" t="s">
        <v>7362</v>
      </c>
      <c r="AX575" s="3" t="s">
        <v>7362</v>
      </c>
      <c r="AY575" s="3" t="s">
        <v>7363</v>
      </c>
      <c r="AZ575" s="3" t="s">
        <v>75</v>
      </c>
      <c r="BB575" s="3" t="s">
        <v>7364</v>
      </c>
      <c r="BC575" s="3" t="s">
        <v>7365</v>
      </c>
      <c r="BD575" s="3" t="s">
        <v>7366</v>
      </c>
    </row>
    <row r="576" spans="1:56" ht="39" customHeight="1" x14ac:dyDescent="0.25">
      <c r="A576" s="7" t="s">
        <v>58</v>
      </c>
      <c r="B576" s="2" t="s">
        <v>7367</v>
      </c>
      <c r="C576" s="2" t="s">
        <v>7368</v>
      </c>
      <c r="D576" s="2" t="s">
        <v>7369</v>
      </c>
      <c r="F576" s="3" t="s">
        <v>58</v>
      </c>
      <c r="G576" s="3" t="s">
        <v>59</v>
      </c>
      <c r="H576" s="3" t="s">
        <v>58</v>
      </c>
      <c r="I576" s="3" t="s">
        <v>58</v>
      </c>
      <c r="J576" s="3" t="s">
        <v>60</v>
      </c>
      <c r="K576" s="2" t="s">
        <v>7370</v>
      </c>
      <c r="L576" s="2" t="s">
        <v>7371</v>
      </c>
      <c r="M576" s="3" t="s">
        <v>2067</v>
      </c>
      <c r="N576" s="2" t="s">
        <v>476</v>
      </c>
      <c r="O576" s="3" t="s">
        <v>65</v>
      </c>
      <c r="P576" s="3" t="s">
        <v>186</v>
      </c>
      <c r="R576" s="3" t="s">
        <v>68</v>
      </c>
      <c r="S576" s="4">
        <v>1</v>
      </c>
      <c r="T576" s="4">
        <v>1</v>
      </c>
      <c r="U576" s="5" t="s">
        <v>6969</v>
      </c>
      <c r="V576" s="5" t="s">
        <v>6969</v>
      </c>
      <c r="W576" s="5" t="s">
        <v>6969</v>
      </c>
      <c r="X576" s="5" t="s">
        <v>6969</v>
      </c>
      <c r="Y576" s="4">
        <v>261</v>
      </c>
      <c r="Z576" s="4">
        <v>239</v>
      </c>
      <c r="AA576" s="4">
        <v>311</v>
      </c>
      <c r="AB576" s="4">
        <v>2</v>
      </c>
      <c r="AC576" s="4">
        <v>2</v>
      </c>
      <c r="AD576" s="4">
        <v>5</v>
      </c>
      <c r="AE576" s="4">
        <v>8</v>
      </c>
      <c r="AF576" s="4">
        <v>5</v>
      </c>
      <c r="AG576" s="4">
        <v>5</v>
      </c>
      <c r="AH576" s="4">
        <v>0</v>
      </c>
      <c r="AI576" s="4">
        <v>1</v>
      </c>
      <c r="AJ576" s="4">
        <v>0</v>
      </c>
      <c r="AK576" s="4">
        <v>2</v>
      </c>
      <c r="AL576" s="4">
        <v>0</v>
      </c>
      <c r="AM576" s="4">
        <v>0</v>
      </c>
      <c r="AN576" s="4">
        <v>0</v>
      </c>
      <c r="AO576" s="4">
        <v>0</v>
      </c>
      <c r="AP576" s="3" t="s">
        <v>58</v>
      </c>
      <c r="AQ576" s="3" t="s">
        <v>132</v>
      </c>
      <c r="AR576" s="6" t="str">
        <f>HYPERLINK("http://catalog.hathitrust.org/Record/102045069","HathiTrust Record")</f>
        <v>HathiTrust Record</v>
      </c>
      <c r="AS576" s="6" t="str">
        <f>HYPERLINK("https://creighton-primo.hosted.exlibrisgroup.com/primo-explore/search?tab=default_tab&amp;search_scope=EVERYTHING&amp;vid=01CRU&amp;lang=en_US&amp;offset=0&amp;query=any,contains,991005261219702656","Catalog Record")</f>
        <v>Catalog Record</v>
      </c>
      <c r="AT576" s="6" t="str">
        <f>HYPERLINK("http://www.worldcat.org/oclc/2586700","WorldCat Record")</f>
        <v>WorldCat Record</v>
      </c>
      <c r="AU576" s="3" t="s">
        <v>7372</v>
      </c>
      <c r="AV576" s="3" t="s">
        <v>7373</v>
      </c>
      <c r="AW576" s="3" t="s">
        <v>7374</v>
      </c>
      <c r="AX576" s="3" t="s">
        <v>7374</v>
      </c>
      <c r="AY576" s="3" t="s">
        <v>7375</v>
      </c>
      <c r="AZ576" s="3" t="s">
        <v>75</v>
      </c>
      <c r="BC576" s="3" t="s">
        <v>7376</v>
      </c>
      <c r="BD576" s="3" t="s">
        <v>7377</v>
      </c>
    </row>
    <row r="577" spans="1:56" ht="39" customHeight="1" x14ac:dyDescent="0.25">
      <c r="A577" s="7" t="s">
        <v>58</v>
      </c>
      <c r="B577" s="2" t="s">
        <v>7378</v>
      </c>
      <c r="C577" s="2" t="s">
        <v>7379</v>
      </c>
      <c r="D577" s="2" t="s">
        <v>7380</v>
      </c>
      <c r="F577" s="3" t="s">
        <v>58</v>
      </c>
      <c r="G577" s="3" t="s">
        <v>59</v>
      </c>
      <c r="H577" s="3" t="s">
        <v>58</v>
      </c>
      <c r="I577" s="3" t="s">
        <v>58</v>
      </c>
      <c r="J577" s="3" t="s">
        <v>60</v>
      </c>
      <c r="K577" s="2" t="s">
        <v>7381</v>
      </c>
      <c r="L577" s="2" t="s">
        <v>7382</v>
      </c>
      <c r="M577" s="3" t="s">
        <v>544</v>
      </c>
      <c r="O577" s="3" t="s">
        <v>65</v>
      </c>
      <c r="P577" s="3" t="s">
        <v>158</v>
      </c>
      <c r="R577" s="3" t="s">
        <v>68</v>
      </c>
      <c r="S577" s="4">
        <v>6</v>
      </c>
      <c r="T577" s="4">
        <v>6</v>
      </c>
      <c r="U577" s="5" t="s">
        <v>7383</v>
      </c>
      <c r="V577" s="5" t="s">
        <v>7383</v>
      </c>
      <c r="W577" s="5" t="s">
        <v>1194</v>
      </c>
      <c r="X577" s="5" t="s">
        <v>1194</v>
      </c>
      <c r="Y577" s="4">
        <v>331</v>
      </c>
      <c r="Z577" s="4">
        <v>290</v>
      </c>
      <c r="AA577" s="4">
        <v>297</v>
      </c>
      <c r="AB577" s="4">
        <v>4</v>
      </c>
      <c r="AC577" s="4">
        <v>4</v>
      </c>
      <c r="AD577" s="4">
        <v>10</v>
      </c>
      <c r="AE577" s="4">
        <v>10</v>
      </c>
      <c r="AF577" s="4">
        <v>4</v>
      </c>
      <c r="AG577" s="4">
        <v>4</v>
      </c>
      <c r="AH577" s="4">
        <v>1</v>
      </c>
      <c r="AI577" s="4">
        <v>1</v>
      </c>
      <c r="AJ577" s="4">
        <v>3</v>
      </c>
      <c r="AK577" s="4">
        <v>3</v>
      </c>
      <c r="AL577" s="4">
        <v>2</v>
      </c>
      <c r="AM577" s="4">
        <v>2</v>
      </c>
      <c r="AN577" s="4">
        <v>0</v>
      </c>
      <c r="AO577" s="4">
        <v>0</v>
      </c>
      <c r="AP577" s="3" t="s">
        <v>58</v>
      </c>
      <c r="AQ577" s="3" t="s">
        <v>132</v>
      </c>
      <c r="AR577" s="6" t="str">
        <f>HYPERLINK("http://catalog.hathitrust.org/Record/004580814","HathiTrust Record")</f>
        <v>HathiTrust Record</v>
      </c>
      <c r="AS577" s="6" t="str">
        <f>HYPERLINK("https://creighton-primo.hosted.exlibrisgroup.com/primo-explore/search?tab=default_tab&amp;search_scope=EVERYTHING&amp;vid=01CRU&amp;lang=en_US&amp;offset=0&amp;query=any,contains,991003019699702656","Catalog Record")</f>
        <v>Catalog Record</v>
      </c>
      <c r="AT577" s="6" t="str">
        <f>HYPERLINK("http://www.worldcat.org/oclc/41115069","WorldCat Record")</f>
        <v>WorldCat Record</v>
      </c>
      <c r="AU577" s="3" t="s">
        <v>7384</v>
      </c>
      <c r="AV577" s="3" t="s">
        <v>7385</v>
      </c>
      <c r="AW577" s="3" t="s">
        <v>7386</v>
      </c>
      <c r="AX577" s="3" t="s">
        <v>7386</v>
      </c>
      <c r="AY577" s="3" t="s">
        <v>7387</v>
      </c>
      <c r="AZ577" s="3" t="s">
        <v>75</v>
      </c>
      <c r="BB577" s="3" t="s">
        <v>7388</v>
      </c>
      <c r="BC577" s="3" t="s">
        <v>7389</v>
      </c>
      <c r="BD577" s="3" t="s">
        <v>7390</v>
      </c>
    </row>
    <row r="578" spans="1:56" ht="39" customHeight="1" x14ac:dyDescent="0.25">
      <c r="A578" s="7" t="s">
        <v>58</v>
      </c>
      <c r="B578" s="2" t="s">
        <v>7391</v>
      </c>
      <c r="C578" s="2" t="s">
        <v>7392</v>
      </c>
      <c r="D578" s="2" t="s">
        <v>7393</v>
      </c>
      <c r="F578" s="3" t="s">
        <v>58</v>
      </c>
      <c r="G578" s="3" t="s">
        <v>59</v>
      </c>
      <c r="H578" s="3" t="s">
        <v>58</v>
      </c>
      <c r="I578" s="3" t="s">
        <v>58</v>
      </c>
      <c r="J578" s="3" t="s">
        <v>60</v>
      </c>
      <c r="K578" s="2" t="s">
        <v>2596</v>
      </c>
      <c r="L578" s="2" t="s">
        <v>7394</v>
      </c>
      <c r="M578" s="3" t="s">
        <v>144</v>
      </c>
      <c r="O578" s="3" t="s">
        <v>65</v>
      </c>
      <c r="P578" s="3" t="s">
        <v>571</v>
      </c>
      <c r="R578" s="3" t="s">
        <v>68</v>
      </c>
      <c r="S578" s="4">
        <v>1</v>
      </c>
      <c r="T578" s="4">
        <v>1</v>
      </c>
      <c r="U578" s="5" t="s">
        <v>7395</v>
      </c>
      <c r="V578" s="5" t="s">
        <v>7395</v>
      </c>
      <c r="W578" s="5" t="s">
        <v>6881</v>
      </c>
      <c r="X578" s="5" t="s">
        <v>6881</v>
      </c>
      <c r="Y578" s="4">
        <v>100</v>
      </c>
      <c r="Z578" s="4">
        <v>81</v>
      </c>
      <c r="AA578" s="4">
        <v>81</v>
      </c>
      <c r="AB578" s="4">
        <v>2</v>
      </c>
      <c r="AC578" s="4">
        <v>2</v>
      </c>
      <c r="AD578" s="4">
        <v>14</v>
      </c>
      <c r="AE578" s="4">
        <v>14</v>
      </c>
      <c r="AF578" s="4">
        <v>2</v>
      </c>
      <c r="AG578" s="4">
        <v>2</v>
      </c>
      <c r="AH578" s="4">
        <v>3</v>
      </c>
      <c r="AI578" s="4">
        <v>3</v>
      </c>
      <c r="AJ578" s="4">
        <v>12</v>
      </c>
      <c r="AK578" s="4">
        <v>12</v>
      </c>
      <c r="AL578" s="4">
        <v>0</v>
      </c>
      <c r="AM578" s="4">
        <v>0</v>
      </c>
      <c r="AN578" s="4">
        <v>0</v>
      </c>
      <c r="AO578" s="4">
        <v>0</v>
      </c>
      <c r="AP578" s="3" t="s">
        <v>58</v>
      </c>
      <c r="AQ578" s="3" t="s">
        <v>58</v>
      </c>
      <c r="AS578" s="6" t="str">
        <f>HYPERLINK("https://creighton-primo.hosted.exlibrisgroup.com/primo-explore/search?tab=default_tab&amp;search_scope=EVERYTHING&amp;vid=01CRU&amp;lang=en_US&amp;offset=0&amp;query=any,contains,991004560649702656","Catalog Record")</f>
        <v>Catalog Record</v>
      </c>
      <c r="AT578" s="6" t="str">
        <f>HYPERLINK("http://www.worldcat.org/oclc/25449516","WorldCat Record")</f>
        <v>WorldCat Record</v>
      </c>
      <c r="AU578" s="3" t="s">
        <v>7396</v>
      </c>
      <c r="AV578" s="3" t="s">
        <v>7397</v>
      </c>
      <c r="AW578" s="3" t="s">
        <v>7398</v>
      </c>
      <c r="AX578" s="3" t="s">
        <v>7398</v>
      </c>
      <c r="AY578" s="3" t="s">
        <v>7399</v>
      </c>
      <c r="AZ578" s="3" t="s">
        <v>75</v>
      </c>
      <c r="BC578" s="3" t="s">
        <v>7400</v>
      </c>
      <c r="BD578" s="3" t="s">
        <v>7401</v>
      </c>
    </row>
    <row r="579" spans="1:56" ht="39" customHeight="1" x14ac:dyDescent="0.25">
      <c r="A579" s="7" t="s">
        <v>58</v>
      </c>
      <c r="B579" s="2" t="s">
        <v>7402</v>
      </c>
      <c r="C579" s="2" t="s">
        <v>7403</v>
      </c>
      <c r="D579" s="2" t="s">
        <v>7404</v>
      </c>
      <c r="F579" s="3" t="s">
        <v>58</v>
      </c>
      <c r="G579" s="3" t="s">
        <v>59</v>
      </c>
      <c r="H579" s="3" t="s">
        <v>58</v>
      </c>
      <c r="I579" s="3" t="s">
        <v>58</v>
      </c>
      <c r="J579" s="3" t="s">
        <v>60</v>
      </c>
      <c r="K579" s="2" t="s">
        <v>7405</v>
      </c>
      <c r="L579" s="2" t="s">
        <v>7406</v>
      </c>
      <c r="M579" s="3" t="s">
        <v>966</v>
      </c>
      <c r="N579" s="2" t="s">
        <v>3468</v>
      </c>
      <c r="O579" s="3" t="s">
        <v>65</v>
      </c>
      <c r="P579" s="3" t="s">
        <v>477</v>
      </c>
      <c r="R579" s="3" t="s">
        <v>68</v>
      </c>
      <c r="S579" s="4">
        <v>2</v>
      </c>
      <c r="T579" s="4">
        <v>2</v>
      </c>
      <c r="U579" s="5" t="s">
        <v>7407</v>
      </c>
      <c r="V579" s="5" t="s">
        <v>7407</v>
      </c>
      <c r="W579" s="5" t="s">
        <v>5175</v>
      </c>
      <c r="X579" s="5" t="s">
        <v>5175</v>
      </c>
      <c r="Y579" s="4">
        <v>150</v>
      </c>
      <c r="Z579" s="4">
        <v>135</v>
      </c>
      <c r="AA579" s="4">
        <v>154</v>
      </c>
      <c r="AB579" s="4">
        <v>1</v>
      </c>
      <c r="AC579" s="4">
        <v>1</v>
      </c>
      <c r="AD579" s="4">
        <v>10</v>
      </c>
      <c r="AE579" s="4">
        <v>10</v>
      </c>
      <c r="AF579" s="4">
        <v>6</v>
      </c>
      <c r="AG579" s="4">
        <v>6</v>
      </c>
      <c r="AH579" s="4">
        <v>2</v>
      </c>
      <c r="AI579" s="4">
        <v>2</v>
      </c>
      <c r="AJ579" s="4">
        <v>6</v>
      </c>
      <c r="AK579" s="4">
        <v>6</v>
      </c>
      <c r="AL579" s="4">
        <v>0</v>
      </c>
      <c r="AM579" s="4">
        <v>0</v>
      </c>
      <c r="AN579" s="4">
        <v>0</v>
      </c>
      <c r="AO579" s="4">
        <v>0</v>
      </c>
      <c r="AP579" s="3" t="s">
        <v>58</v>
      </c>
      <c r="AQ579" s="3" t="s">
        <v>58</v>
      </c>
      <c r="AS579" s="6" t="str">
        <f>HYPERLINK("https://creighton-primo.hosted.exlibrisgroup.com/primo-explore/search?tab=default_tab&amp;search_scope=EVERYTHING&amp;vid=01CRU&amp;lang=en_US&amp;offset=0&amp;query=any,contains,991003854409702656","Catalog Record")</f>
        <v>Catalog Record</v>
      </c>
      <c r="AT579" s="6" t="str">
        <f>HYPERLINK("http://www.worldcat.org/oclc/26588538","WorldCat Record")</f>
        <v>WorldCat Record</v>
      </c>
      <c r="AU579" s="3" t="s">
        <v>7408</v>
      </c>
      <c r="AV579" s="3" t="s">
        <v>7409</v>
      </c>
      <c r="AW579" s="3" t="s">
        <v>7410</v>
      </c>
      <c r="AX579" s="3" t="s">
        <v>7410</v>
      </c>
      <c r="AY579" s="3" t="s">
        <v>7411</v>
      </c>
      <c r="AZ579" s="3" t="s">
        <v>75</v>
      </c>
      <c r="BB579" s="3" t="s">
        <v>7412</v>
      </c>
      <c r="BC579" s="3" t="s">
        <v>7413</v>
      </c>
      <c r="BD579" s="3" t="s">
        <v>7414</v>
      </c>
    </row>
    <row r="580" spans="1:56" ht="39" customHeight="1" x14ac:dyDescent="0.25">
      <c r="A580" s="7" t="s">
        <v>58</v>
      </c>
      <c r="B580" s="2" t="s">
        <v>7415</v>
      </c>
      <c r="C580" s="2" t="s">
        <v>7416</v>
      </c>
      <c r="D580" s="2" t="s">
        <v>7417</v>
      </c>
      <c r="F580" s="3" t="s">
        <v>58</v>
      </c>
      <c r="G580" s="3" t="s">
        <v>59</v>
      </c>
      <c r="H580" s="3" t="s">
        <v>58</v>
      </c>
      <c r="I580" s="3" t="s">
        <v>58</v>
      </c>
      <c r="J580" s="3" t="s">
        <v>60</v>
      </c>
      <c r="K580" s="2" t="s">
        <v>7405</v>
      </c>
      <c r="L580" s="2" t="s">
        <v>1032</v>
      </c>
      <c r="M580" s="3" t="s">
        <v>427</v>
      </c>
      <c r="O580" s="3" t="s">
        <v>65</v>
      </c>
      <c r="P580" s="3" t="s">
        <v>186</v>
      </c>
      <c r="R580" s="3" t="s">
        <v>68</v>
      </c>
      <c r="S580" s="4">
        <v>6</v>
      </c>
      <c r="T580" s="4">
        <v>6</v>
      </c>
      <c r="U580" s="5" t="s">
        <v>7418</v>
      </c>
      <c r="V580" s="5" t="s">
        <v>7418</v>
      </c>
      <c r="W580" s="5" t="s">
        <v>6881</v>
      </c>
      <c r="X580" s="5" t="s">
        <v>6881</v>
      </c>
      <c r="Y580" s="4">
        <v>377</v>
      </c>
      <c r="Z580" s="4">
        <v>341</v>
      </c>
      <c r="AA580" s="4">
        <v>343</v>
      </c>
      <c r="AB580" s="4">
        <v>2</v>
      </c>
      <c r="AC580" s="4">
        <v>2</v>
      </c>
      <c r="AD580" s="4">
        <v>23</v>
      </c>
      <c r="AE580" s="4">
        <v>23</v>
      </c>
      <c r="AF580" s="4">
        <v>13</v>
      </c>
      <c r="AG580" s="4">
        <v>13</v>
      </c>
      <c r="AH580" s="4">
        <v>4</v>
      </c>
      <c r="AI580" s="4">
        <v>4</v>
      </c>
      <c r="AJ580" s="4">
        <v>12</v>
      </c>
      <c r="AK580" s="4">
        <v>12</v>
      </c>
      <c r="AL580" s="4">
        <v>1</v>
      </c>
      <c r="AM580" s="4">
        <v>1</v>
      </c>
      <c r="AN580" s="4">
        <v>0</v>
      </c>
      <c r="AO580" s="4">
        <v>0</v>
      </c>
      <c r="AP580" s="3" t="s">
        <v>58</v>
      </c>
      <c r="AQ580" s="3" t="s">
        <v>132</v>
      </c>
      <c r="AR580" s="6" t="str">
        <f>HYPERLINK("http://catalog.hathitrust.org/Record/000690179","HathiTrust Record")</f>
        <v>HathiTrust Record</v>
      </c>
      <c r="AS580" s="6" t="str">
        <f>HYPERLINK("https://creighton-primo.hosted.exlibrisgroup.com/primo-explore/search?tab=default_tab&amp;search_scope=EVERYTHING&amp;vid=01CRU&amp;lang=en_US&amp;offset=0&amp;query=any,contains,991004780029702656","Catalog Record")</f>
        <v>Catalog Record</v>
      </c>
      <c r="AT580" s="6" t="str">
        <f>HYPERLINK("http://www.worldcat.org/oclc/5103216","WorldCat Record")</f>
        <v>WorldCat Record</v>
      </c>
      <c r="AU580" s="3" t="s">
        <v>7419</v>
      </c>
      <c r="AV580" s="3" t="s">
        <v>7420</v>
      </c>
      <c r="AW580" s="3" t="s">
        <v>7421</v>
      </c>
      <c r="AX580" s="3" t="s">
        <v>7421</v>
      </c>
      <c r="AY580" s="3" t="s">
        <v>7422</v>
      </c>
      <c r="AZ580" s="3" t="s">
        <v>75</v>
      </c>
      <c r="BB580" s="3" t="s">
        <v>7423</v>
      </c>
      <c r="BC580" s="3" t="s">
        <v>7424</v>
      </c>
      <c r="BD580" s="3" t="s">
        <v>7425</v>
      </c>
    </row>
    <row r="581" spans="1:56" ht="39" customHeight="1" x14ac:dyDescent="0.25">
      <c r="A581" s="7" t="s">
        <v>58</v>
      </c>
      <c r="B581" s="2" t="s">
        <v>7426</v>
      </c>
      <c r="C581" s="2" t="s">
        <v>7427</v>
      </c>
      <c r="D581" s="2" t="s">
        <v>7428</v>
      </c>
      <c r="F581" s="3" t="s">
        <v>58</v>
      </c>
      <c r="G581" s="3" t="s">
        <v>59</v>
      </c>
      <c r="H581" s="3" t="s">
        <v>58</v>
      </c>
      <c r="I581" s="3" t="s">
        <v>58</v>
      </c>
      <c r="J581" s="3" t="s">
        <v>60</v>
      </c>
      <c r="K581" s="2" t="s">
        <v>7429</v>
      </c>
      <c r="L581" s="2" t="s">
        <v>7430</v>
      </c>
      <c r="M581" s="3" t="s">
        <v>655</v>
      </c>
      <c r="O581" s="3" t="s">
        <v>65</v>
      </c>
      <c r="P581" s="3" t="s">
        <v>2664</v>
      </c>
      <c r="R581" s="3" t="s">
        <v>68</v>
      </c>
      <c r="S581" s="4">
        <v>4</v>
      </c>
      <c r="T581" s="4">
        <v>4</v>
      </c>
      <c r="U581" s="5" t="s">
        <v>7431</v>
      </c>
      <c r="V581" s="5" t="s">
        <v>7431</v>
      </c>
      <c r="W581" s="5" t="s">
        <v>6881</v>
      </c>
      <c r="X581" s="5" t="s">
        <v>6881</v>
      </c>
      <c r="Y581" s="4">
        <v>473</v>
      </c>
      <c r="Z581" s="4">
        <v>445</v>
      </c>
      <c r="AA581" s="4">
        <v>470</v>
      </c>
      <c r="AB581" s="4">
        <v>3</v>
      </c>
      <c r="AC581" s="4">
        <v>3</v>
      </c>
      <c r="AD581" s="4">
        <v>10</v>
      </c>
      <c r="AE581" s="4">
        <v>10</v>
      </c>
      <c r="AF581" s="4">
        <v>6</v>
      </c>
      <c r="AG581" s="4">
        <v>6</v>
      </c>
      <c r="AH581" s="4">
        <v>1</v>
      </c>
      <c r="AI581" s="4">
        <v>1</v>
      </c>
      <c r="AJ581" s="4">
        <v>3</v>
      </c>
      <c r="AK581" s="4">
        <v>3</v>
      </c>
      <c r="AL581" s="4">
        <v>1</v>
      </c>
      <c r="AM581" s="4">
        <v>1</v>
      </c>
      <c r="AN581" s="4">
        <v>0</v>
      </c>
      <c r="AO581" s="4">
        <v>0</v>
      </c>
      <c r="AP581" s="3" t="s">
        <v>58</v>
      </c>
      <c r="AQ581" s="3" t="s">
        <v>58</v>
      </c>
      <c r="AS581" s="6" t="str">
        <f>HYPERLINK("https://creighton-primo.hosted.exlibrisgroup.com/primo-explore/search?tab=default_tab&amp;search_scope=EVERYTHING&amp;vid=01CRU&amp;lang=en_US&amp;offset=0&amp;query=any,contains,991003128639702656","Catalog Record")</f>
        <v>Catalog Record</v>
      </c>
      <c r="AT581" s="6" t="str">
        <f>HYPERLINK("http://www.worldcat.org/oclc/672029","WorldCat Record")</f>
        <v>WorldCat Record</v>
      </c>
      <c r="AU581" s="3" t="s">
        <v>7432</v>
      </c>
      <c r="AV581" s="3" t="s">
        <v>7433</v>
      </c>
      <c r="AW581" s="3" t="s">
        <v>7434</v>
      </c>
      <c r="AX581" s="3" t="s">
        <v>7434</v>
      </c>
      <c r="AY581" s="3" t="s">
        <v>7435</v>
      </c>
      <c r="AZ581" s="3" t="s">
        <v>75</v>
      </c>
      <c r="BC581" s="3" t="s">
        <v>7436</v>
      </c>
      <c r="BD581" s="3" t="s">
        <v>7437</v>
      </c>
    </row>
    <row r="582" spans="1:56" ht="39" customHeight="1" x14ac:dyDescent="0.25">
      <c r="A582" s="7" t="s">
        <v>58</v>
      </c>
      <c r="B582" s="2" t="s">
        <v>7438</v>
      </c>
      <c r="C582" s="2" t="s">
        <v>7439</v>
      </c>
      <c r="D582" s="2" t="s">
        <v>7440</v>
      </c>
      <c r="F582" s="3" t="s">
        <v>58</v>
      </c>
      <c r="G582" s="3" t="s">
        <v>59</v>
      </c>
      <c r="H582" s="3" t="s">
        <v>58</v>
      </c>
      <c r="I582" s="3" t="s">
        <v>58</v>
      </c>
      <c r="J582" s="3" t="s">
        <v>60</v>
      </c>
      <c r="K582" s="2" t="s">
        <v>7441</v>
      </c>
      <c r="L582" s="2" t="s">
        <v>7442</v>
      </c>
      <c r="M582" s="3" t="s">
        <v>215</v>
      </c>
      <c r="O582" s="3" t="s">
        <v>65</v>
      </c>
      <c r="P582" s="3" t="s">
        <v>186</v>
      </c>
      <c r="R582" s="3" t="s">
        <v>68</v>
      </c>
      <c r="S582" s="4">
        <v>2</v>
      </c>
      <c r="T582" s="4">
        <v>2</v>
      </c>
      <c r="U582" s="5" t="s">
        <v>7443</v>
      </c>
      <c r="V582" s="5" t="s">
        <v>7443</v>
      </c>
      <c r="W582" s="5" t="s">
        <v>7444</v>
      </c>
      <c r="X582" s="5" t="s">
        <v>7444</v>
      </c>
      <c r="Y582" s="4">
        <v>317</v>
      </c>
      <c r="Z582" s="4">
        <v>275</v>
      </c>
      <c r="AA582" s="4">
        <v>307</v>
      </c>
      <c r="AB582" s="4">
        <v>3</v>
      </c>
      <c r="AC582" s="4">
        <v>3</v>
      </c>
      <c r="AD582" s="4">
        <v>17</v>
      </c>
      <c r="AE582" s="4">
        <v>18</v>
      </c>
      <c r="AF582" s="4">
        <v>6</v>
      </c>
      <c r="AG582" s="4">
        <v>7</v>
      </c>
      <c r="AH582" s="4">
        <v>2</v>
      </c>
      <c r="AI582" s="4">
        <v>2</v>
      </c>
      <c r="AJ582" s="4">
        <v>11</v>
      </c>
      <c r="AK582" s="4">
        <v>11</v>
      </c>
      <c r="AL582" s="4">
        <v>2</v>
      </c>
      <c r="AM582" s="4">
        <v>2</v>
      </c>
      <c r="AN582" s="4">
        <v>0</v>
      </c>
      <c r="AO582" s="4">
        <v>0</v>
      </c>
      <c r="AP582" s="3" t="s">
        <v>58</v>
      </c>
      <c r="AQ582" s="3" t="s">
        <v>58</v>
      </c>
      <c r="AS582" s="6" t="str">
        <f>HYPERLINK("https://creighton-primo.hosted.exlibrisgroup.com/primo-explore/search?tab=default_tab&amp;search_scope=EVERYTHING&amp;vid=01CRU&amp;lang=en_US&amp;offset=0&amp;query=any,contains,991000963679702656","Catalog Record")</f>
        <v>Catalog Record</v>
      </c>
      <c r="AT582" s="6" t="str">
        <f>HYPERLINK("http://www.worldcat.org/oclc/14904007","WorldCat Record")</f>
        <v>WorldCat Record</v>
      </c>
      <c r="AU582" s="3" t="s">
        <v>7445</v>
      </c>
      <c r="AV582" s="3" t="s">
        <v>7446</v>
      </c>
      <c r="AW582" s="3" t="s">
        <v>7447</v>
      </c>
      <c r="AX582" s="3" t="s">
        <v>7447</v>
      </c>
      <c r="AY582" s="3" t="s">
        <v>7448</v>
      </c>
      <c r="AZ582" s="3" t="s">
        <v>75</v>
      </c>
      <c r="BB582" s="3" t="s">
        <v>7449</v>
      </c>
      <c r="BC582" s="3" t="s">
        <v>7450</v>
      </c>
      <c r="BD582" s="3" t="s">
        <v>7451</v>
      </c>
    </row>
    <row r="583" spans="1:56" ht="39" customHeight="1" x14ac:dyDescent="0.25">
      <c r="A583" s="7" t="s">
        <v>58</v>
      </c>
      <c r="B583" s="2" t="s">
        <v>7452</v>
      </c>
      <c r="C583" s="2" t="s">
        <v>7453</v>
      </c>
      <c r="D583" s="2" t="s">
        <v>7454</v>
      </c>
      <c r="F583" s="3" t="s">
        <v>58</v>
      </c>
      <c r="G583" s="3" t="s">
        <v>59</v>
      </c>
      <c r="H583" s="3" t="s">
        <v>58</v>
      </c>
      <c r="I583" s="3" t="s">
        <v>58</v>
      </c>
      <c r="J583" s="3" t="s">
        <v>60</v>
      </c>
      <c r="L583" s="2" t="s">
        <v>7455</v>
      </c>
      <c r="M583" s="3" t="s">
        <v>781</v>
      </c>
      <c r="O583" s="3" t="s">
        <v>65</v>
      </c>
      <c r="P583" s="3" t="s">
        <v>967</v>
      </c>
      <c r="R583" s="3" t="s">
        <v>68</v>
      </c>
      <c r="S583" s="4">
        <v>3</v>
      </c>
      <c r="T583" s="4">
        <v>3</v>
      </c>
      <c r="U583" s="5" t="s">
        <v>7456</v>
      </c>
      <c r="V583" s="5" t="s">
        <v>7456</v>
      </c>
      <c r="W583" s="5" t="s">
        <v>6881</v>
      </c>
      <c r="X583" s="5" t="s">
        <v>6881</v>
      </c>
      <c r="Y583" s="4">
        <v>237</v>
      </c>
      <c r="Z583" s="4">
        <v>209</v>
      </c>
      <c r="AA583" s="4">
        <v>218</v>
      </c>
      <c r="AB583" s="4">
        <v>5</v>
      </c>
      <c r="AC583" s="4">
        <v>5</v>
      </c>
      <c r="AD583" s="4">
        <v>17</v>
      </c>
      <c r="AE583" s="4">
        <v>17</v>
      </c>
      <c r="AF583" s="4">
        <v>4</v>
      </c>
      <c r="AG583" s="4">
        <v>4</v>
      </c>
      <c r="AH583" s="4">
        <v>3</v>
      </c>
      <c r="AI583" s="4">
        <v>3</v>
      </c>
      <c r="AJ583" s="4">
        <v>11</v>
      </c>
      <c r="AK583" s="4">
        <v>11</v>
      </c>
      <c r="AL583" s="4">
        <v>2</v>
      </c>
      <c r="AM583" s="4">
        <v>2</v>
      </c>
      <c r="AN583" s="4">
        <v>0</v>
      </c>
      <c r="AO583" s="4">
        <v>0</v>
      </c>
      <c r="AP583" s="3" t="s">
        <v>58</v>
      </c>
      <c r="AQ583" s="3" t="s">
        <v>58</v>
      </c>
      <c r="AS583" s="6" t="str">
        <f>HYPERLINK("https://creighton-primo.hosted.exlibrisgroup.com/primo-explore/search?tab=default_tab&amp;search_scope=EVERYTHING&amp;vid=01CRU&amp;lang=en_US&amp;offset=0&amp;query=any,contains,991000577429702656","Catalog Record")</f>
        <v>Catalog Record</v>
      </c>
      <c r="AT583" s="6" t="str">
        <f>HYPERLINK("http://www.worldcat.org/oclc/11702886","WorldCat Record")</f>
        <v>WorldCat Record</v>
      </c>
      <c r="AU583" s="3" t="s">
        <v>7457</v>
      </c>
      <c r="AV583" s="3" t="s">
        <v>7458</v>
      </c>
      <c r="AW583" s="3" t="s">
        <v>7459</v>
      </c>
      <c r="AX583" s="3" t="s">
        <v>7459</v>
      </c>
      <c r="AY583" s="3" t="s">
        <v>7460</v>
      </c>
      <c r="AZ583" s="3" t="s">
        <v>75</v>
      </c>
      <c r="BB583" s="3" t="s">
        <v>7461</v>
      </c>
      <c r="BC583" s="3" t="s">
        <v>7462</v>
      </c>
      <c r="BD583" s="3" t="s">
        <v>7463</v>
      </c>
    </row>
    <row r="584" spans="1:56" ht="39" customHeight="1" x14ac:dyDescent="0.25">
      <c r="A584" s="7" t="s">
        <v>58</v>
      </c>
      <c r="B584" s="2" t="s">
        <v>7464</v>
      </c>
      <c r="C584" s="2" t="s">
        <v>7465</v>
      </c>
      <c r="D584" s="2" t="s">
        <v>7466</v>
      </c>
      <c r="F584" s="3" t="s">
        <v>58</v>
      </c>
      <c r="G584" s="3" t="s">
        <v>59</v>
      </c>
      <c r="H584" s="3" t="s">
        <v>58</v>
      </c>
      <c r="I584" s="3" t="s">
        <v>58</v>
      </c>
      <c r="J584" s="3" t="s">
        <v>60</v>
      </c>
      <c r="K584" s="2" t="s">
        <v>7467</v>
      </c>
      <c r="L584" s="2" t="s">
        <v>7468</v>
      </c>
      <c r="M584" s="3" t="s">
        <v>157</v>
      </c>
      <c r="N584" s="2" t="s">
        <v>476</v>
      </c>
      <c r="O584" s="3" t="s">
        <v>65</v>
      </c>
      <c r="P584" s="3" t="s">
        <v>186</v>
      </c>
      <c r="R584" s="3" t="s">
        <v>68</v>
      </c>
      <c r="S584" s="4">
        <v>1</v>
      </c>
      <c r="T584" s="4">
        <v>1</v>
      </c>
      <c r="U584" s="5" t="s">
        <v>7469</v>
      </c>
      <c r="V584" s="5" t="s">
        <v>7469</v>
      </c>
      <c r="W584" s="5" t="s">
        <v>7470</v>
      </c>
      <c r="X584" s="5" t="s">
        <v>7470</v>
      </c>
      <c r="Y584" s="4">
        <v>335</v>
      </c>
      <c r="Z584" s="4">
        <v>302</v>
      </c>
      <c r="AA584" s="4">
        <v>369</v>
      </c>
      <c r="AB584" s="4">
        <v>2</v>
      </c>
      <c r="AC584" s="4">
        <v>2</v>
      </c>
      <c r="AD584" s="4">
        <v>16</v>
      </c>
      <c r="AE584" s="4">
        <v>22</v>
      </c>
      <c r="AF584" s="4">
        <v>4</v>
      </c>
      <c r="AG584" s="4">
        <v>7</v>
      </c>
      <c r="AH584" s="4">
        <v>4</v>
      </c>
      <c r="AI584" s="4">
        <v>6</v>
      </c>
      <c r="AJ584" s="4">
        <v>10</v>
      </c>
      <c r="AK584" s="4">
        <v>14</v>
      </c>
      <c r="AL584" s="4">
        <v>1</v>
      </c>
      <c r="AM584" s="4">
        <v>1</v>
      </c>
      <c r="AN584" s="4">
        <v>0</v>
      </c>
      <c r="AO584" s="4">
        <v>0</v>
      </c>
      <c r="AP584" s="3" t="s">
        <v>58</v>
      </c>
      <c r="AQ584" s="3" t="s">
        <v>132</v>
      </c>
      <c r="AR584" s="6" t="str">
        <f>HYPERLINK("http://catalog.hathitrust.org/Record/000271155","HathiTrust Record")</f>
        <v>HathiTrust Record</v>
      </c>
      <c r="AS584" s="6" t="str">
        <f>HYPERLINK("https://creighton-primo.hosted.exlibrisgroup.com/primo-explore/search?tab=default_tab&amp;search_scope=EVERYTHING&amp;vid=01CRU&amp;lang=en_US&amp;offset=0&amp;query=any,contains,991005220039702656","Catalog Record")</f>
        <v>Catalog Record</v>
      </c>
      <c r="AT584" s="6" t="str">
        <f>HYPERLINK("http://www.worldcat.org/oclc/8221196","WorldCat Record")</f>
        <v>WorldCat Record</v>
      </c>
      <c r="AU584" s="3" t="s">
        <v>7471</v>
      </c>
      <c r="AV584" s="3" t="s">
        <v>7472</v>
      </c>
      <c r="AW584" s="3" t="s">
        <v>7473</v>
      </c>
      <c r="AX584" s="3" t="s">
        <v>7473</v>
      </c>
      <c r="AY584" s="3" t="s">
        <v>7474</v>
      </c>
      <c r="AZ584" s="3" t="s">
        <v>75</v>
      </c>
      <c r="BB584" s="3" t="s">
        <v>7475</v>
      </c>
      <c r="BC584" s="3" t="s">
        <v>7476</v>
      </c>
      <c r="BD584" s="3" t="s">
        <v>7477</v>
      </c>
    </row>
    <row r="585" spans="1:56" ht="39" customHeight="1" x14ac:dyDescent="0.25">
      <c r="A585" s="7" t="s">
        <v>58</v>
      </c>
      <c r="B585" s="2" t="s">
        <v>7478</v>
      </c>
      <c r="C585" s="2" t="s">
        <v>7479</v>
      </c>
      <c r="D585" s="2" t="s">
        <v>7480</v>
      </c>
      <c r="F585" s="3" t="s">
        <v>58</v>
      </c>
      <c r="G585" s="3" t="s">
        <v>59</v>
      </c>
      <c r="H585" s="3" t="s">
        <v>58</v>
      </c>
      <c r="I585" s="3" t="s">
        <v>58</v>
      </c>
      <c r="J585" s="3" t="s">
        <v>60</v>
      </c>
      <c r="K585" s="2" t="s">
        <v>7481</v>
      </c>
      <c r="L585" s="2" t="s">
        <v>7482</v>
      </c>
      <c r="M585" s="3" t="s">
        <v>1621</v>
      </c>
      <c r="N585" s="2" t="s">
        <v>7483</v>
      </c>
      <c r="O585" s="3" t="s">
        <v>65</v>
      </c>
      <c r="P585" s="3" t="s">
        <v>84</v>
      </c>
      <c r="R585" s="3" t="s">
        <v>68</v>
      </c>
      <c r="S585" s="4">
        <v>1</v>
      </c>
      <c r="T585" s="4">
        <v>1</v>
      </c>
      <c r="U585" s="5" t="s">
        <v>3699</v>
      </c>
      <c r="V585" s="5" t="s">
        <v>3699</v>
      </c>
      <c r="W585" s="5" t="s">
        <v>3699</v>
      </c>
      <c r="X585" s="5" t="s">
        <v>3699</v>
      </c>
      <c r="Y585" s="4">
        <v>20</v>
      </c>
      <c r="Z585" s="4">
        <v>18</v>
      </c>
      <c r="AA585" s="4">
        <v>239</v>
      </c>
      <c r="AB585" s="4">
        <v>1</v>
      </c>
      <c r="AC585" s="4">
        <v>3</v>
      </c>
      <c r="AD585" s="4">
        <v>0</v>
      </c>
      <c r="AE585" s="4">
        <v>8</v>
      </c>
      <c r="AF585" s="4">
        <v>0</v>
      </c>
      <c r="AG585" s="4">
        <v>5</v>
      </c>
      <c r="AH585" s="4">
        <v>0</v>
      </c>
      <c r="AI585" s="4">
        <v>1</v>
      </c>
      <c r="AJ585" s="4">
        <v>0</v>
      </c>
      <c r="AK585" s="4">
        <v>1</v>
      </c>
      <c r="AL585" s="4">
        <v>0</v>
      </c>
      <c r="AM585" s="4">
        <v>2</v>
      </c>
      <c r="AN585" s="4">
        <v>0</v>
      </c>
      <c r="AO585" s="4">
        <v>0</v>
      </c>
      <c r="AP585" s="3" t="s">
        <v>58</v>
      </c>
      <c r="AQ585" s="3" t="s">
        <v>58</v>
      </c>
      <c r="AS585" s="6" t="str">
        <f>HYPERLINK("https://creighton-primo.hosted.exlibrisgroup.com/primo-explore/search?tab=default_tab&amp;search_scope=EVERYTHING&amp;vid=01CRU&amp;lang=en_US&amp;offset=0&amp;query=any,contains,991004920409702656","Catalog Record")</f>
        <v>Catalog Record</v>
      </c>
      <c r="AT585" s="6" t="str">
        <f>HYPERLINK("http://www.worldcat.org/oclc/28552535","WorldCat Record")</f>
        <v>WorldCat Record</v>
      </c>
      <c r="AU585" s="3" t="s">
        <v>7484</v>
      </c>
      <c r="AV585" s="3" t="s">
        <v>7485</v>
      </c>
      <c r="AW585" s="3" t="s">
        <v>7486</v>
      </c>
      <c r="AX585" s="3" t="s">
        <v>7486</v>
      </c>
      <c r="AY585" s="3" t="s">
        <v>7487</v>
      </c>
      <c r="AZ585" s="3" t="s">
        <v>75</v>
      </c>
      <c r="BB585" s="3" t="s">
        <v>7488</v>
      </c>
      <c r="BC585" s="3" t="s">
        <v>7489</v>
      </c>
      <c r="BD585" s="3" t="s">
        <v>7490</v>
      </c>
    </row>
    <row r="586" spans="1:56" ht="39" customHeight="1" x14ac:dyDescent="0.25">
      <c r="A586" s="7" t="s">
        <v>58</v>
      </c>
      <c r="B586" s="2" t="s">
        <v>7491</v>
      </c>
      <c r="C586" s="2" t="s">
        <v>7492</v>
      </c>
      <c r="D586" s="2" t="s">
        <v>7493</v>
      </c>
      <c r="F586" s="3" t="s">
        <v>58</v>
      </c>
      <c r="G586" s="3" t="s">
        <v>59</v>
      </c>
      <c r="H586" s="3" t="s">
        <v>58</v>
      </c>
      <c r="I586" s="3" t="s">
        <v>58</v>
      </c>
      <c r="J586" s="3" t="s">
        <v>60</v>
      </c>
      <c r="K586" s="2" t="s">
        <v>7494</v>
      </c>
      <c r="L586" s="2" t="s">
        <v>7495</v>
      </c>
      <c r="M586" s="3" t="s">
        <v>318</v>
      </c>
      <c r="O586" s="3" t="s">
        <v>65</v>
      </c>
      <c r="P586" s="3" t="s">
        <v>186</v>
      </c>
      <c r="R586" s="3" t="s">
        <v>68</v>
      </c>
      <c r="S586" s="4">
        <v>7</v>
      </c>
      <c r="T586" s="4">
        <v>7</v>
      </c>
      <c r="U586" s="5" t="s">
        <v>1034</v>
      </c>
      <c r="V586" s="5" t="s">
        <v>1034</v>
      </c>
      <c r="W586" s="5" t="s">
        <v>5038</v>
      </c>
      <c r="X586" s="5" t="s">
        <v>5038</v>
      </c>
      <c r="Y586" s="4">
        <v>1651</v>
      </c>
      <c r="Z586" s="4">
        <v>1579</v>
      </c>
      <c r="AA586" s="4">
        <v>1903</v>
      </c>
      <c r="AB586" s="4">
        <v>16</v>
      </c>
      <c r="AC586" s="4">
        <v>19</v>
      </c>
      <c r="AD586" s="4">
        <v>39</v>
      </c>
      <c r="AE586" s="4">
        <v>42</v>
      </c>
      <c r="AF586" s="4">
        <v>15</v>
      </c>
      <c r="AG586" s="4">
        <v>17</v>
      </c>
      <c r="AH586" s="4">
        <v>7</v>
      </c>
      <c r="AI586" s="4">
        <v>8</v>
      </c>
      <c r="AJ586" s="4">
        <v>18</v>
      </c>
      <c r="AK586" s="4">
        <v>20</v>
      </c>
      <c r="AL586" s="4">
        <v>6</v>
      </c>
      <c r="AM586" s="4">
        <v>6</v>
      </c>
      <c r="AN586" s="4">
        <v>0</v>
      </c>
      <c r="AO586" s="4">
        <v>0</v>
      </c>
      <c r="AP586" s="3" t="s">
        <v>58</v>
      </c>
      <c r="AQ586" s="3" t="s">
        <v>132</v>
      </c>
      <c r="AR586" s="6" t="str">
        <f>HYPERLINK("http://catalog.hathitrust.org/Record/003969935","HathiTrust Record")</f>
        <v>HathiTrust Record</v>
      </c>
      <c r="AS586" s="6" t="str">
        <f>HYPERLINK("https://creighton-primo.hosted.exlibrisgroup.com/primo-explore/search?tab=default_tab&amp;search_scope=EVERYTHING&amp;vid=01CRU&amp;lang=en_US&amp;offset=0&amp;query=any,contains,991002878809702656","Catalog Record")</f>
        <v>Catalog Record</v>
      </c>
      <c r="AT586" s="6" t="str">
        <f>HYPERLINK("http://www.worldcat.org/oclc/37935174","WorldCat Record")</f>
        <v>WorldCat Record</v>
      </c>
      <c r="AU586" s="3" t="s">
        <v>7496</v>
      </c>
      <c r="AV586" s="3" t="s">
        <v>7497</v>
      </c>
      <c r="AW586" s="3" t="s">
        <v>7498</v>
      </c>
      <c r="AX586" s="3" t="s">
        <v>7498</v>
      </c>
      <c r="AY586" s="3" t="s">
        <v>7499</v>
      </c>
      <c r="AZ586" s="3" t="s">
        <v>75</v>
      </c>
      <c r="BB586" s="3" t="s">
        <v>7500</v>
      </c>
      <c r="BC586" s="3" t="s">
        <v>7501</v>
      </c>
      <c r="BD586" s="3" t="s">
        <v>7502</v>
      </c>
    </row>
    <row r="587" spans="1:56" ht="39" customHeight="1" x14ac:dyDescent="0.25">
      <c r="A587" s="7" t="s">
        <v>58</v>
      </c>
      <c r="B587" s="2" t="s">
        <v>7503</v>
      </c>
      <c r="C587" s="2" t="s">
        <v>7504</v>
      </c>
      <c r="D587" s="2" t="s">
        <v>7505</v>
      </c>
      <c r="F587" s="3" t="s">
        <v>58</v>
      </c>
      <c r="G587" s="3" t="s">
        <v>59</v>
      </c>
      <c r="H587" s="3" t="s">
        <v>58</v>
      </c>
      <c r="I587" s="3" t="s">
        <v>132</v>
      </c>
      <c r="J587" s="3" t="s">
        <v>60</v>
      </c>
      <c r="K587" s="2" t="s">
        <v>7506</v>
      </c>
      <c r="L587" s="2" t="s">
        <v>7507</v>
      </c>
      <c r="M587" s="3" t="s">
        <v>361</v>
      </c>
      <c r="N587" s="2" t="s">
        <v>476</v>
      </c>
      <c r="O587" s="3" t="s">
        <v>65</v>
      </c>
      <c r="P587" s="3" t="s">
        <v>84</v>
      </c>
      <c r="R587" s="3" t="s">
        <v>68</v>
      </c>
      <c r="S587" s="4">
        <v>6</v>
      </c>
      <c r="T587" s="4">
        <v>6</v>
      </c>
      <c r="U587" s="5" t="s">
        <v>7508</v>
      </c>
      <c r="V587" s="5" t="s">
        <v>7508</v>
      </c>
      <c r="W587" s="5" t="s">
        <v>7470</v>
      </c>
      <c r="X587" s="5" t="s">
        <v>7470</v>
      </c>
      <c r="Y587" s="4">
        <v>475</v>
      </c>
      <c r="Z587" s="4">
        <v>419</v>
      </c>
      <c r="AA587" s="4">
        <v>427</v>
      </c>
      <c r="AB587" s="4">
        <v>1</v>
      </c>
      <c r="AC587" s="4">
        <v>1</v>
      </c>
      <c r="AD587" s="4">
        <v>28</v>
      </c>
      <c r="AE587" s="4">
        <v>28</v>
      </c>
      <c r="AF587" s="4">
        <v>11</v>
      </c>
      <c r="AG587" s="4">
        <v>11</v>
      </c>
      <c r="AH587" s="4">
        <v>7</v>
      </c>
      <c r="AI587" s="4">
        <v>7</v>
      </c>
      <c r="AJ587" s="4">
        <v>20</v>
      </c>
      <c r="AK587" s="4">
        <v>20</v>
      </c>
      <c r="AL587" s="4">
        <v>0</v>
      </c>
      <c r="AM587" s="4">
        <v>0</v>
      </c>
      <c r="AN587" s="4">
        <v>0</v>
      </c>
      <c r="AO587" s="4">
        <v>0</v>
      </c>
      <c r="AP587" s="3" t="s">
        <v>58</v>
      </c>
      <c r="AQ587" s="3" t="s">
        <v>132</v>
      </c>
      <c r="AR587" s="6" t="str">
        <f>HYPERLINK("http://catalog.hathitrust.org/Record/000245703","HathiTrust Record")</f>
        <v>HathiTrust Record</v>
      </c>
      <c r="AS587" s="6" t="str">
        <f>HYPERLINK("https://creighton-primo.hosted.exlibrisgroup.com/primo-explore/search?tab=default_tab&amp;search_scope=EVERYTHING&amp;vid=01CRU&amp;lang=en_US&amp;offset=0&amp;query=any,contains,991000292609702656","Catalog Record")</f>
        <v>Catalog Record</v>
      </c>
      <c r="AT587" s="6" t="str">
        <f>HYPERLINK("http://www.worldcat.org/oclc/9970527","WorldCat Record")</f>
        <v>WorldCat Record</v>
      </c>
      <c r="AU587" s="3" t="s">
        <v>7509</v>
      </c>
      <c r="AV587" s="3" t="s">
        <v>7510</v>
      </c>
      <c r="AW587" s="3" t="s">
        <v>7511</v>
      </c>
      <c r="AX587" s="3" t="s">
        <v>7511</v>
      </c>
      <c r="AY587" s="3" t="s">
        <v>7512</v>
      </c>
      <c r="AZ587" s="3" t="s">
        <v>75</v>
      </c>
      <c r="BB587" s="3" t="s">
        <v>7513</v>
      </c>
      <c r="BC587" s="3" t="s">
        <v>7514</v>
      </c>
      <c r="BD587" s="3" t="s">
        <v>7515</v>
      </c>
    </row>
    <row r="588" spans="1:56" ht="39" customHeight="1" x14ac:dyDescent="0.25">
      <c r="A588" s="7" t="s">
        <v>58</v>
      </c>
      <c r="B588" s="2" t="s">
        <v>7516</v>
      </c>
      <c r="C588" s="2" t="s">
        <v>7517</v>
      </c>
      <c r="D588" s="2" t="s">
        <v>7518</v>
      </c>
      <c r="F588" s="3" t="s">
        <v>58</v>
      </c>
      <c r="G588" s="3" t="s">
        <v>59</v>
      </c>
      <c r="H588" s="3" t="s">
        <v>58</v>
      </c>
      <c r="I588" s="3" t="s">
        <v>132</v>
      </c>
      <c r="J588" s="3" t="s">
        <v>60</v>
      </c>
      <c r="K588" s="2" t="s">
        <v>7506</v>
      </c>
      <c r="L588" s="2" t="s">
        <v>7519</v>
      </c>
      <c r="M588" s="3" t="s">
        <v>361</v>
      </c>
      <c r="O588" s="3" t="s">
        <v>65</v>
      </c>
      <c r="P588" s="3" t="s">
        <v>66</v>
      </c>
      <c r="R588" s="3" t="s">
        <v>68</v>
      </c>
      <c r="S588" s="4">
        <v>4</v>
      </c>
      <c r="T588" s="4">
        <v>4</v>
      </c>
      <c r="U588" s="5" t="s">
        <v>7520</v>
      </c>
      <c r="V588" s="5" t="s">
        <v>7520</v>
      </c>
      <c r="W588" s="5" t="s">
        <v>7470</v>
      </c>
      <c r="X588" s="5" t="s">
        <v>7470</v>
      </c>
      <c r="Y588" s="4">
        <v>71</v>
      </c>
      <c r="Z588" s="4">
        <v>14</v>
      </c>
      <c r="AA588" s="4">
        <v>427</v>
      </c>
      <c r="AB588" s="4">
        <v>1</v>
      </c>
      <c r="AC588" s="4">
        <v>1</v>
      </c>
      <c r="AD588" s="4">
        <v>0</v>
      </c>
      <c r="AE588" s="4">
        <v>28</v>
      </c>
      <c r="AF588" s="4">
        <v>0</v>
      </c>
      <c r="AG588" s="4">
        <v>11</v>
      </c>
      <c r="AH588" s="4">
        <v>0</v>
      </c>
      <c r="AI588" s="4">
        <v>7</v>
      </c>
      <c r="AJ588" s="4">
        <v>0</v>
      </c>
      <c r="AK588" s="4">
        <v>20</v>
      </c>
      <c r="AL588" s="4">
        <v>0</v>
      </c>
      <c r="AM588" s="4">
        <v>0</v>
      </c>
      <c r="AN588" s="4">
        <v>0</v>
      </c>
      <c r="AO588" s="4">
        <v>0</v>
      </c>
      <c r="AP588" s="3" t="s">
        <v>58</v>
      </c>
      <c r="AQ588" s="3" t="s">
        <v>58</v>
      </c>
      <c r="AS588" s="6" t="str">
        <f>HYPERLINK("https://creighton-primo.hosted.exlibrisgroup.com/primo-explore/search?tab=default_tab&amp;search_scope=EVERYTHING&amp;vid=01CRU&amp;lang=en_US&amp;offset=0&amp;query=any,contains,991000540329702656","Catalog Record")</f>
        <v>Catalog Record</v>
      </c>
      <c r="AT588" s="6" t="str">
        <f>HYPERLINK("http://www.worldcat.org/oclc/11474806","WorldCat Record")</f>
        <v>WorldCat Record</v>
      </c>
      <c r="AU588" s="3" t="s">
        <v>7509</v>
      </c>
      <c r="AV588" s="3" t="s">
        <v>7521</v>
      </c>
      <c r="AW588" s="3" t="s">
        <v>7522</v>
      </c>
      <c r="AX588" s="3" t="s">
        <v>7522</v>
      </c>
      <c r="AY588" s="3" t="s">
        <v>7523</v>
      </c>
      <c r="AZ588" s="3" t="s">
        <v>75</v>
      </c>
      <c r="BB588" s="3" t="s">
        <v>7524</v>
      </c>
      <c r="BC588" s="3" t="s">
        <v>7525</v>
      </c>
      <c r="BD588" s="3" t="s">
        <v>7526</v>
      </c>
    </row>
    <row r="589" spans="1:56" ht="39" customHeight="1" x14ac:dyDescent="0.25">
      <c r="A589" s="7" t="s">
        <v>58</v>
      </c>
      <c r="B589" s="2" t="s">
        <v>7527</v>
      </c>
      <c r="C589" s="2" t="s">
        <v>7528</v>
      </c>
      <c r="D589" s="2" t="s">
        <v>7529</v>
      </c>
      <c r="F589" s="3" t="s">
        <v>58</v>
      </c>
      <c r="G589" s="3" t="s">
        <v>59</v>
      </c>
      <c r="H589" s="3" t="s">
        <v>58</v>
      </c>
      <c r="I589" s="3" t="s">
        <v>58</v>
      </c>
      <c r="J589" s="3" t="s">
        <v>60</v>
      </c>
      <c r="K589" s="2" t="s">
        <v>7530</v>
      </c>
      <c r="L589" s="2" t="s">
        <v>6179</v>
      </c>
      <c r="M589" s="3" t="s">
        <v>781</v>
      </c>
      <c r="O589" s="3" t="s">
        <v>65</v>
      </c>
      <c r="P589" s="3" t="s">
        <v>186</v>
      </c>
      <c r="R589" s="3" t="s">
        <v>68</v>
      </c>
      <c r="S589" s="4">
        <v>2</v>
      </c>
      <c r="T589" s="4">
        <v>2</v>
      </c>
      <c r="U589" s="5" t="s">
        <v>7531</v>
      </c>
      <c r="V589" s="5" t="s">
        <v>7531</v>
      </c>
      <c r="W589" s="5" t="s">
        <v>1084</v>
      </c>
      <c r="X589" s="5" t="s">
        <v>1084</v>
      </c>
      <c r="Y589" s="4">
        <v>100</v>
      </c>
      <c r="Z589" s="4">
        <v>92</v>
      </c>
      <c r="AA589" s="4">
        <v>108</v>
      </c>
      <c r="AB589" s="4">
        <v>1</v>
      </c>
      <c r="AC589" s="4">
        <v>2</v>
      </c>
      <c r="AD589" s="4">
        <v>8</v>
      </c>
      <c r="AE589" s="4">
        <v>10</v>
      </c>
      <c r="AF589" s="4">
        <v>2</v>
      </c>
      <c r="AG589" s="4">
        <v>3</v>
      </c>
      <c r="AH589" s="4">
        <v>2</v>
      </c>
      <c r="AI589" s="4">
        <v>3</v>
      </c>
      <c r="AJ589" s="4">
        <v>5</v>
      </c>
      <c r="AK589" s="4">
        <v>5</v>
      </c>
      <c r="AL589" s="4">
        <v>0</v>
      </c>
      <c r="AM589" s="4">
        <v>1</v>
      </c>
      <c r="AN589" s="4">
        <v>0</v>
      </c>
      <c r="AO589" s="4">
        <v>0</v>
      </c>
      <c r="AP589" s="3" t="s">
        <v>58</v>
      </c>
      <c r="AQ589" s="3" t="s">
        <v>58</v>
      </c>
      <c r="AS589" s="6" t="str">
        <f>HYPERLINK("https://creighton-primo.hosted.exlibrisgroup.com/primo-explore/search?tab=default_tab&amp;search_scope=EVERYTHING&amp;vid=01CRU&amp;lang=en_US&amp;offset=0&amp;query=any,contains,991004528899702656","Catalog Record")</f>
        <v>Catalog Record</v>
      </c>
      <c r="AT589" s="6" t="str">
        <f>HYPERLINK("http://www.worldcat.org/oclc/11973241","WorldCat Record")</f>
        <v>WorldCat Record</v>
      </c>
      <c r="AU589" s="3" t="s">
        <v>7532</v>
      </c>
      <c r="AV589" s="3" t="s">
        <v>7533</v>
      </c>
      <c r="AW589" s="3" t="s">
        <v>7534</v>
      </c>
      <c r="AX589" s="3" t="s">
        <v>7534</v>
      </c>
      <c r="AY589" s="3" t="s">
        <v>7535</v>
      </c>
      <c r="AZ589" s="3" t="s">
        <v>75</v>
      </c>
      <c r="BB589" s="3" t="s">
        <v>7536</v>
      </c>
      <c r="BC589" s="3" t="s">
        <v>7537</v>
      </c>
      <c r="BD589" s="3" t="s">
        <v>7538</v>
      </c>
    </row>
    <row r="590" spans="1:56" ht="39" customHeight="1" x14ac:dyDescent="0.25">
      <c r="A590" s="7" t="s">
        <v>58</v>
      </c>
      <c r="B590" s="2" t="s">
        <v>7539</v>
      </c>
      <c r="C590" s="2" t="s">
        <v>7540</v>
      </c>
      <c r="D590" s="2" t="s">
        <v>7541</v>
      </c>
      <c r="F590" s="3" t="s">
        <v>58</v>
      </c>
      <c r="G590" s="3" t="s">
        <v>59</v>
      </c>
      <c r="H590" s="3" t="s">
        <v>58</v>
      </c>
      <c r="I590" s="3" t="s">
        <v>58</v>
      </c>
      <c r="J590" s="3" t="s">
        <v>60</v>
      </c>
      <c r="K590" s="2" t="s">
        <v>7542</v>
      </c>
      <c r="L590" s="2" t="s">
        <v>7543</v>
      </c>
      <c r="M590" s="3" t="s">
        <v>2418</v>
      </c>
      <c r="O590" s="3" t="s">
        <v>65</v>
      </c>
      <c r="P590" s="3" t="s">
        <v>158</v>
      </c>
      <c r="R590" s="3" t="s">
        <v>68</v>
      </c>
      <c r="S590" s="4">
        <v>1</v>
      </c>
      <c r="T590" s="4">
        <v>1</v>
      </c>
      <c r="U590" s="5" t="s">
        <v>7544</v>
      </c>
      <c r="V590" s="5" t="s">
        <v>7544</v>
      </c>
      <c r="W590" s="5" t="s">
        <v>7545</v>
      </c>
      <c r="X590" s="5" t="s">
        <v>7545</v>
      </c>
      <c r="Y590" s="4">
        <v>207</v>
      </c>
      <c r="Z590" s="4">
        <v>177</v>
      </c>
      <c r="AA590" s="4">
        <v>177</v>
      </c>
      <c r="AB590" s="4">
        <v>1</v>
      </c>
      <c r="AC590" s="4">
        <v>1</v>
      </c>
      <c r="AD590" s="4">
        <v>9</v>
      </c>
      <c r="AE590" s="4">
        <v>9</v>
      </c>
      <c r="AF590" s="4">
        <v>5</v>
      </c>
      <c r="AG590" s="4">
        <v>5</v>
      </c>
      <c r="AH590" s="4">
        <v>0</v>
      </c>
      <c r="AI590" s="4">
        <v>0</v>
      </c>
      <c r="AJ590" s="4">
        <v>7</v>
      </c>
      <c r="AK590" s="4">
        <v>7</v>
      </c>
      <c r="AL590" s="4">
        <v>0</v>
      </c>
      <c r="AM590" s="4">
        <v>0</v>
      </c>
      <c r="AN590" s="4">
        <v>0</v>
      </c>
      <c r="AO590" s="4">
        <v>0</v>
      </c>
      <c r="AP590" s="3" t="s">
        <v>58</v>
      </c>
      <c r="AQ590" s="3" t="s">
        <v>58</v>
      </c>
      <c r="AS590" s="6" t="str">
        <f>HYPERLINK("https://creighton-primo.hosted.exlibrisgroup.com/primo-explore/search?tab=default_tab&amp;search_scope=EVERYTHING&amp;vid=01CRU&amp;lang=en_US&amp;offset=0&amp;query=any,contains,991002839639702656","Catalog Record")</f>
        <v>Catalog Record</v>
      </c>
      <c r="AT590" s="6" t="str">
        <f>HYPERLINK("http://www.worldcat.org/oclc/481370","WorldCat Record")</f>
        <v>WorldCat Record</v>
      </c>
      <c r="AU590" s="3" t="s">
        <v>7546</v>
      </c>
      <c r="AV590" s="3" t="s">
        <v>7547</v>
      </c>
      <c r="AW590" s="3" t="s">
        <v>7548</v>
      </c>
      <c r="AX590" s="3" t="s">
        <v>7548</v>
      </c>
      <c r="AY590" s="3" t="s">
        <v>7549</v>
      </c>
      <c r="AZ590" s="3" t="s">
        <v>75</v>
      </c>
      <c r="BB590" s="3" t="s">
        <v>7550</v>
      </c>
      <c r="BC590" s="3" t="s">
        <v>7551</v>
      </c>
      <c r="BD590" s="3" t="s">
        <v>7552</v>
      </c>
    </row>
    <row r="591" spans="1:56" ht="39" customHeight="1" x14ac:dyDescent="0.25">
      <c r="A591" s="7" t="s">
        <v>58</v>
      </c>
      <c r="B591" s="2" t="s">
        <v>7553</v>
      </c>
      <c r="C591" s="2" t="s">
        <v>7554</v>
      </c>
      <c r="D591" s="2" t="s">
        <v>7555</v>
      </c>
      <c r="F591" s="3" t="s">
        <v>58</v>
      </c>
      <c r="G591" s="3" t="s">
        <v>59</v>
      </c>
      <c r="H591" s="3" t="s">
        <v>58</v>
      </c>
      <c r="I591" s="3" t="s">
        <v>58</v>
      </c>
      <c r="J591" s="3" t="s">
        <v>60</v>
      </c>
      <c r="L591" s="2" t="s">
        <v>7556</v>
      </c>
      <c r="M591" s="3" t="s">
        <v>3656</v>
      </c>
      <c r="N591" s="2" t="s">
        <v>476</v>
      </c>
      <c r="R591" s="3" t="s">
        <v>68</v>
      </c>
      <c r="S591" s="4">
        <v>3</v>
      </c>
      <c r="T591" s="4">
        <v>3</v>
      </c>
      <c r="U591" s="5" t="s">
        <v>7261</v>
      </c>
      <c r="V591" s="5" t="s">
        <v>7261</v>
      </c>
      <c r="W591" s="5" t="s">
        <v>7557</v>
      </c>
      <c r="X591" s="5" t="s">
        <v>7557</v>
      </c>
      <c r="Y591" s="4">
        <v>78</v>
      </c>
      <c r="Z591" s="4">
        <v>69</v>
      </c>
      <c r="AA591" s="4">
        <v>1190</v>
      </c>
      <c r="AB591" s="4">
        <v>1</v>
      </c>
      <c r="AC591" s="4">
        <v>4</v>
      </c>
      <c r="AD591" s="4">
        <v>0</v>
      </c>
      <c r="AE591" s="4">
        <v>30</v>
      </c>
      <c r="AF591" s="4">
        <v>0</v>
      </c>
      <c r="AG591" s="4">
        <v>16</v>
      </c>
      <c r="AH591" s="4">
        <v>0</v>
      </c>
      <c r="AI591" s="4">
        <v>6</v>
      </c>
      <c r="AJ591" s="4">
        <v>0</v>
      </c>
      <c r="AK591" s="4">
        <v>15</v>
      </c>
      <c r="AL591" s="4">
        <v>0</v>
      </c>
      <c r="AM591" s="4">
        <v>3</v>
      </c>
      <c r="AN591" s="4">
        <v>0</v>
      </c>
      <c r="AO591" s="4">
        <v>0</v>
      </c>
      <c r="AP591" s="3" t="s">
        <v>58</v>
      </c>
      <c r="AQ591" s="3" t="s">
        <v>58</v>
      </c>
      <c r="AS591" s="6" t="str">
        <f>HYPERLINK("https://creighton-primo.hosted.exlibrisgroup.com/primo-explore/search?tab=default_tab&amp;search_scope=EVERYTHING&amp;vid=01CRU&amp;lang=en_US&amp;offset=0&amp;query=any,contains,991004517319702656","Catalog Record")</f>
        <v>Catalog Record</v>
      </c>
      <c r="AT591" s="6" t="str">
        <f>HYPERLINK("http://www.worldcat.org/oclc/38587028","WorldCat Record")</f>
        <v>WorldCat Record</v>
      </c>
      <c r="AU591" s="3" t="s">
        <v>7558</v>
      </c>
      <c r="AV591" s="3" t="s">
        <v>7559</v>
      </c>
      <c r="AW591" s="3" t="s">
        <v>7560</v>
      </c>
      <c r="AX591" s="3" t="s">
        <v>7560</v>
      </c>
      <c r="AY591" s="3" t="s">
        <v>7561</v>
      </c>
      <c r="AZ591" s="3" t="s">
        <v>75</v>
      </c>
      <c r="BB591" s="3" t="s">
        <v>7562</v>
      </c>
      <c r="BC591" s="3" t="s">
        <v>7563</v>
      </c>
      <c r="BD591" s="3" t="s">
        <v>7564</v>
      </c>
    </row>
    <row r="592" spans="1:56" ht="39" customHeight="1" x14ac:dyDescent="0.25">
      <c r="A592" s="7" t="s">
        <v>58</v>
      </c>
      <c r="B592" s="2" t="s">
        <v>7565</v>
      </c>
      <c r="C592" s="2" t="s">
        <v>7566</v>
      </c>
      <c r="D592" s="2" t="s">
        <v>7567</v>
      </c>
      <c r="F592" s="3" t="s">
        <v>58</v>
      </c>
      <c r="G592" s="3" t="s">
        <v>59</v>
      </c>
      <c r="H592" s="3" t="s">
        <v>58</v>
      </c>
      <c r="I592" s="3" t="s">
        <v>58</v>
      </c>
      <c r="J592" s="3" t="s">
        <v>60</v>
      </c>
      <c r="K592" s="2" t="s">
        <v>7568</v>
      </c>
      <c r="L592" s="2" t="s">
        <v>7569</v>
      </c>
      <c r="M592" s="3" t="s">
        <v>172</v>
      </c>
      <c r="O592" s="3" t="s">
        <v>65</v>
      </c>
      <c r="P592" s="3" t="s">
        <v>186</v>
      </c>
      <c r="R592" s="3" t="s">
        <v>68</v>
      </c>
      <c r="S592" s="4">
        <v>3</v>
      </c>
      <c r="T592" s="4">
        <v>3</v>
      </c>
      <c r="U592" s="5" t="s">
        <v>7570</v>
      </c>
      <c r="V592" s="5" t="s">
        <v>7570</v>
      </c>
      <c r="W592" s="5" t="s">
        <v>348</v>
      </c>
      <c r="X592" s="5" t="s">
        <v>348</v>
      </c>
      <c r="Y592" s="4">
        <v>518</v>
      </c>
      <c r="Z592" s="4">
        <v>455</v>
      </c>
      <c r="AA592" s="4">
        <v>461</v>
      </c>
      <c r="AB592" s="4">
        <v>5</v>
      </c>
      <c r="AC592" s="4">
        <v>5</v>
      </c>
      <c r="AD592" s="4">
        <v>36</v>
      </c>
      <c r="AE592" s="4">
        <v>36</v>
      </c>
      <c r="AF592" s="4">
        <v>14</v>
      </c>
      <c r="AG592" s="4">
        <v>14</v>
      </c>
      <c r="AH592" s="4">
        <v>7</v>
      </c>
      <c r="AI592" s="4">
        <v>7</v>
      </c>
      <c r="AJ592" s="4">
        <v>21</v>
      </c>
      <c r="AK592" s="4">
        <v>21</v>
      </c>
      <c r="AL592" s="4">
        <v>4</v>
      </c>
      <c r="AM592" s="4">
        <v>4</v>
      </c>
      <c r="AN592" s="4">
        <v>0</v>
      </c>
      <c r="AO592" s="4">
        <v>0</v>
      </c>
      <c r="AP592" s="3" t="s">
        <v>58</v>
      </c>
      <c r="AQ592" s="3" t="s">
        <v>132</v>
      </c>
      <c r="AR592" s="6" t="str">
        <f>HYPERLINK("http://catalog.hathitrust.org/Record/001413611","HathiTrust Record")</f>
        <v>HathiTrust Record</v>
      </c>
      <c r="AS592" s="6" t="str">
        <f>HYPERLINK("https://creighton-primo.hosted.exlibrisgroup.com/primo-explore/search?tab=default_tab&amp;search_scope=EVERYTHING&amp;vid=01CRU&amp;lang=en_US&amp;offset=0&amp;query=any,contains,991000885399702656","Catalog Record")</f>
        <v>Catalog Record</v>
      </c>
      <c r="AT592" s="6" t="str">
        <f>HYPERLINK("http://www.worldcat.org/oclc/152762","WorldCat Record")</f>
        <v>WorldCat Record</v>
      </c>
      <c r="AU592" s="3" t="s">
        <v>7571</v>
      </c>
      <c r="AV592" s="3" t="s">
        <v>7572</v>
      </c>
      <c r="AW592" s="3" t="s">
        <v>7573</v>
      </c>
      <c r="AX592" s="3" t="s">
        <v>7573</v>
      </c>
      <c r="AY592" s="3" t="s">
        <v>7574</v>
      </c>
      <c r="AZ592" s="3" t="s">
        <v>75</v>
      </c>
      <c r="BC592" s="3" t="s">
        <v>7575</v>
      </c>
      <c r="BD592" s="3" t="s">
        <v>7576</v>
      </c>
    </row>
    <row r="593" spans="1:56" ht="39" customHeight="1" x14ac:dyDescent="0.25">
      <c r="A593" s="7" t="s">
        <v>58</v>
      </c>
      <c r="B593" s="2" t="s">
        <v>7577</v>
      </c>
      <c r="C593" s="2" t="s">
        <v>7578</v>
      </c>
      <c r="D593" s="2" t="s">
        <v>7579</v>
      </c>
      <c r="F593" s="3" t="s">
        <v>58</v>
      </c>
      <c r="G593" s="3" t="s">
        <v>59</v>
      </c>
      <c r="H593" s="3" t="s">
        <v>58</v>
      </c>
      <c r="I593" s="3" t="s">
        <v>58</v>
      </c>
      <c r="J593" s="3" t="s">
        <v>60</v>
      </c>
      <c r="K593" s="2" t="s">
        <v>7580</v>
      </c>
      <c r="L593" s="2" t="s">
        <v>7581</v>
      </c>
      <c r="M593" s="3" t="s">
        <v>215</v>
      </c>
      <c r="O593" s="3" t="s">
        <v>65</v>
      </c>
      <c r="P593" s="3" t="s">
        <v>304</v>
      </c>
      <c r="R593" s="3" t="s">
        <v>68</v>
      </c>
      <c r="S593" s="4">
        <v>4</v>
      </c>
      <c r="T593" s="4">
        <v>4</v>
      </c>
      <c r="U593" s="5" t="s">
        <v>5240</v>
      </c>
      <c r="V593" s="5" t="s">
        <v>5240</v>
      </c>
      <c r="W593" s="5" t="s">
        <v>7582</v>
      </c>
      <c r="X593" s="5" t="s">
        <v>7582</v>
      </c>
      <c r="Y593" s="4">
        <v>144</v>
      </c>
      <c r="Z593" s="4">
        <v>120</v>
      </c>
      <c r="AA593" s="4">
        <v>125</v>
      </c>
      <c r="AB593" s="4">
        <v>2</v>
      </c>
      <c r="AC593" s="4">
        <v>2</v>
      </c>
      <c r="AD593" s="4">
        <v>11</v>
      </c>
      <c r="AE593" s="4">
        <v>11</v>
      </c>
      <c r="AF593" s="4">
        <v>5</v>
      </c>
      <c r="AG593" s="4">
        <v>5</v>
      </c>
      <c r="AH593" s="4">
        <v>2</v>
      </c>
      <c r="AI593" s="4">
        <v>2</v>
      </c>
      <c r="AJ593" s="4">
        <v>10</v>
      </c>
      <c r="AK593" s="4">
        <v>10</v>
      </c>
      <c r="AL593" s="4">
        <v>0</v>
      </c>
      <c r="AM593" s="4">
        <v>0</v>
      </c>
      <c r="AN593" s="4">
        <v>0</v>
      </c>
      <c r="AO593" s="4">
        <v>0</v>
      </c>
      <c r="AP593" s="3" t="s">
        <v>58</v>
      </c>
      <c r="AQ593" s="3" t="s">
        <v>58</v>
      </c>
      <c r="AS593" s="6" t="str">
        <f>HYPERLINK("https://creighton-primo.hosted.exlibrisgroup.com/primo-explore/search?tab=default_tab&amp;search_scope=EVERYTHING&amp;vid=01CRU&amp;lang=en_US&amp;offset=0&amp;query=any,contains,991001168839702656","Catalog Record")</f>
        <v>Catalog Record</v>
      </c>
      <c r="AT593" s="6" t="str">
        <f>HYPERLINK("http://www.worldcat.org/oclc/16940431","WorldCat Record")</f>
        <v>WorldCat Record</v>
      </c>
      <c r="AU593" s="3" t="s">
        <v>7583</v>
      </c>
      <c r="AV593" s="3" t="s">
        <v>7584</v>
      </c>
      <c r="AW593" s="3" t="s">
        <v>7585</v>
      </c>
      <c r="AX593" s="3" t="s">
        <v>7585</v>
      </c>
      <c r="AY593" s="3" t="s">
        <v>7586</v>
      </c>
      <c r="AZ593" s="3" t="s">
        <v>75</v>
      </c>
      <c r="BC593" s="3" t="s">
        <v>7587</v>
      </c>
      <c r="BD593" s="3" t="s">
        <v>7588</v>
      </c>
    </row>
    <row r="594" spans="1:56" ht="39" customHeight="1" x14ac:dyDescent="0.25">
      <c r="A594" s="7" t="s">
        <v>58</v>
      </c>
      <c r="B594" s="2" t="s">
        <v>7589</v>
      </c>
      <c r="C594" s="2" t="s">
        <v>7590</v>
      </c>
      <c r="D594" s="2" t="s">
        <v>7591</v>
      </c>
      <c r="F594" s="3" t="s">
        <v>58</v>
      </c>
      <c r="G594" s="3" t="s">
        <v>59</v>
      </c>
      <c r="H594" s="3" t="s">
        <v>58</v>
      </c>
      <c r="I594" s="3" t="s">
        <v>58</v>
      </c>
      <c r="J594" s="3" t="s">
        <v>60</v>
      </c>
      <c r="K594" s="2" t="s">
        <v>7592</v>
      </c>
      <c r="L594" s="2" t="s">
        <v>7593</v>
      </c>
      <c r="M594" s="3" t="s">
        <v>2418</v>
      </c>
      <c r="O594" s="3" t="s">
        <v>65</v>
      </c>
      <c r="P594" s="3" t="s">
        <v>84</v>
      </c>
      <c r="R594" s="3" t="s">
        <v>68</v>
      </c>
      <c r="S594" s="4">
        <v>2</v>
      </c>
      <c r="T594" s="4">
        <v>2</v>
      </c>
      <c r="U594" s="5" t="s">
        <v>7594</v>
      </c>
      <c r="V594" s="5" t="s">
        <v>7594</v>
      </c>
      <c r="W594" s="5" t="s">
        <v>7470</v>
      </c>
      <c r="X594" s="5" t="s">
        <v>7470</v>
      </c>
      <c r="Y594" s="4">
        <v>251</v>
      </c>
      <c r="Z594" s="4">
        <v>226</v>
      </c>
      <c r="AA594" s="4">
        <v>248</v>
      </c>
      <c r="AB594" s="4">
        <v>4</v>
      </c>
      <c r="AC594" s="4">
        <v>4</v>
      </c>
      <c r="AD594" s="4">
        <v>17</v>
      </c>
      <c r="AE594" s="4">
        <v>18</v>
      </c>
      <c r="AF594" s="4">
        <v>3</v>
      </c>
      <c r="AG594" s="4">
        <v>4</v>
      </c>
      <c r="AH594" s="4">
        <v>4</v>
      </c>
      <c r="AI594" s="4">
        <v>4</v>
      </c>
      <c r="AJ594" s="4">
        <v>10</v>
      </c>
      <c r="AK594" s="4">
        <v>11</v>
      </c>
      <c r="AL594" s="4">
        <v>3</v>
      </c>
      <c r="AM594" s="4">
        <v>3</v>
      </c>
      <c r="AN594" s="4">
        <v>0</v>
      </c>
      <c r="AO594" s="4">
        <v>0</v>
      </c>
      <c r="AP594" s="3" t="s">
        <v>58</v>
      </c>
      <c r="AQ594" s="3" t="s">
        <v>58</v>
      </c>
      <c r="AS594" s="6" t="str">
        <f>HYPERLINK("https://creighton-primo.hosted.exlibrisgroup.com/primo-explore/search?tab=default_tab&amp;search_scope=EVERYTHING&amp;vid=01CRU&amp;lang=en_US&amp;offset=0&amp;query=any,contains,991002207989702656","Catalog Record")</f>
        <v>Catalog Record</v>
      </c>
      <c r="AT594" s="6" t="str">
        <f>HYPERLINK("http://www.worldcat.org/oclc/286869","WorldCat Record")</f>
        <v>WorldCat Record</v>
      </c>
      <c r="AU594" s="3" t="s">
        <v>7595</v>
      </c>
      <c r="AV594" s="3" t="s">
        <v>7596</v>
      </c>
      <c r="AW594" s="3" t="s">
        <v>7597</v>
      </c>
      <c r="AX594" s="3" t="s">
        <v>7597</v>
      </c>
      <c r="AY594" s="3" t="s">
        <v>7598</v>
      </c>
      <c r="AZ594" s="3" t="s">
        <v>75</v>
      </c>
      <c r="BB594" s="3" t="s">
        <v>7599</v>
      </c>
      <c r="BC594" s="3" t="s">
        <v>7600</v>
      </c>
      <c r="BD594" s="3" t="s">
        <v>7601</v>
      </c>
    </row>
    <row r="595" spans="1:56" ht="39" customHeight="1" x14ac:dyDescent="0.25">
      <c r="A595" s="7" t="s">
        <v>58</v>
      </c>
      <c r="B595" s="2" t="s">
        <v>7602</v>
      </c>
      <c r="C595" s="2" t="s">
        <v>7603</v>
      </c>
      <c r="D595" s="2" t="s">
        <v>7604</v>
      </c>
      <c r="F595" s="3" t="s">
        <v>58</v>
      </c>
      <c r="G595" s="3" t="s">
        <v>59</v>
      </c>
      <c r="H595" s="3" t="s">
        <v>58</v>
      </c>
      <c r="I595" s="3" t="s">
        <v>58</v>
      </c>
      <c r="J595" s="3" t="s">
        <v>60</v>
      </c>
      <c r="K595" s="2" t="s">
        <v>7605</v>
      </c>
      <c r="L595" s="2" t="s">
        <v>7606</v>
      </c>
      <c r="M595" s="3" t="s">
        <v>318</v>
      </c>
      <c r="O595" s="3" t="s">
        <v>65</v>
      </c>
      <c r="P595" s="3" t="s">
        <v>346</v>
      </c>
      <c r="R595" s="3" t="s">
        <v>68</v>
      </c>
      <c r="S595" s="4">
        <v>1</v>
      </c>
      <c r="T595" s="4">
        <v>1</v>
      </c>
      <c r="U595" s="5" t="s">
        <v>5814</v>
      </c>
      <c r="V595" s="5" t="s">
        <v>5814</v>
      </c>
      <c r="W595" s="5" t="s">
        <v>5814</v>
      </c>
      <c r="X595" s="5" t="s">
        <v>5814</v>
      </c>
      <c r="Y595" s="4">
        <v>140</v>
      </c>
      <c r="Z595" s="4">
        <v>135</v>
      </c>
      <c r="AA595" s="4">
        <v>136</v>
      </c>
      <c r="AB595" s="4">
        <v>2</v>
      </c>
      <c r="AC595" s="4">
        <v>2</v>
      </c>
      <c r="AD595" s="4">
        <v>4</v>
      </c>
      <c r="AE595" s="4">
        <v>4</v>
      </c>
      <c r="AF595" s="4">
        <v>3</v>
      </c>
      <c r="AG595" s="4">
        <v>3</v>
      </c>
      <c r="AH595" s="4">
        <v>0</v>
      </c>
      <c r="AI595" s="4">
        <v>0</v>
      </c>
      <c r="AJ595" s="4">
        <v>0</v>
      </c>
      <c r="AK595" s="4">
        <v>0</v>
      </c>
      <c r="AL595" s="4">
        <v>1</v>
      </c>
      <c r="AM595" s="4">
        <v>1</v>
      </c>
      <c r="AN595" s="4">
        <v>0</v>
      </c>
      <c r="AO595" s="4">
        <v>0</v>
      </c>
      <c r="AP595" s="3" t="s">
        <v>58</v>
      </c>
      <c r="AQ595" s="3" t="s">
        <v>58</v>
      </c>
      <c r="AS595" s="6" t="str">
        <f>HYPERLINK("https://creighton-primo.hosted.exlibrisgroup.com/primo-explore/search?tab=default_tab&amp;search_scope=EVERYTHING&amp;vid=01CRU&amp;lang=en_US&amp;offset=0&amp;query=any,contains,991004264149702656","Catalog Record")</f>
        <v>Catalog Record</v>
      </c>
      <c r="AT595" s="6" t="str">
        <f>HYPERLINK("http://www.worldcat.org/oclc/38120651","WorldCat Record")</f>
        <v>WorldCat Record</v>
      </c>
      <c r="AU595" s="3" t="s">
        <v>7607</v>
      </c>
      <c r="AV595" s="3" t="s">
        <v>7608</v>
      </c>
      <c r="AW595" s="3" t="s">
        <v>7609</v>
      </c>
      <c r="AX595" s="3" t="s">
        <v>7609</v>
      </c>
      <c r="AY595" s="3" t="s">
        <v>7610</v>
      </c>
      <c r="AZ595" s="3" t="s">
        <v>75</v>
      </c>
      <c r="BB595" s="3" t="s">
        <v>7611</v>
      </c>
      <c r="BC595" s="3" t="s">
        <v>7612</v>
      </c>
      <c r="BD595" s="3" t="s">
        <v>7613</v>
      </c>
    </row>
    <row r="596" spans="1:56" ht="39" customHeight="1" x14ac:dyDescent="0.25">
      <c r="A596" s="7" t="s">
        <v>58</v>
      </c>
      <c r="B596" s="2" t="s">
        <v>7614</v>
      </c>
      <c r="C596" s="2" t="s">
        <v>7615</v>
      </c>
      <c r="D596" s="2" t="s">
        <v>7616</v>
      </c>
      <c r="F596" s="3" t="s">
        <v>58</v>
      </c>
      <c r="G596" s="3" t="s">
        <v>59</v>
      </c>
      <c r="H596" s="3" t="s">
        <v>58</v>
      </c>
      <c r="I596" s="3" t="s">
        <v>58</v>
      </c>
      <c r="J596" s="3" t="s">
        <v>60</v>
      </c>
      <c r="K596" s="2" t="s">
        <v>7617</v>
      </c>
      <c r="L596" s="2" t="s">
        <v>7618</v>
      </c>
      <c r="M596" s="3" t="s">
        <v>544</v>
      </c>
      <c r="O596" s="3" t="s">
        <v>65</v>
      </c>
      <c r="P596" s="3" t="s">
        <v>967</v>
      </c>
      <c r="R596" s="3" t="s">
        <v>68</v>
      </c>
      <c r="S596" s="4">
        <v>3</v>
      </c>
      <c r="T596" s="4">
        <v>3</v>
      </c>
      <c r="U596" s="5" t="s">
        <v>7619</v>
      </c>
      <c r="V596" s="5" t="s">
        <v>7619</v>
      </c>
      <c r="W596" s="5" t="s">
        <v>7620</v>
      </c>
      <c r="X596" s="5" t="s">
        <v>7620</v>
      </c>
      <c r="Y596" s="4">
        <v>106</v>
      </c>
      <c r="Z596" s="4">
        <v>100</v>
      </c>
      <c r="AA596" s="4">
        <v>235</v>
      </c>
      <c r="AB596" s="4">
        <v>1</v>
      </c>
      <c r="AC596" s="4">
        <v>2</v>
      </c>
      <c r="AD596" s="4">
        <v>0</v>
      </c>
      <c r="AE596" s="4">
        <v>4</v>
      </c>
      <c r="AF596" s="4">
        <v>0</v>
      </c>
      <c r="AG596" s="4">
        <v>3</v>
      </c>
      <c r="AH596" s="4">
        <v>0</v>
      </c>
      <c r="AI596" s="4">
        <v>0</v>
      </c>
      <c r="AJ596" s="4">
        <v>0</v>
      </c>
      <c r="AK596" s="4">
        <v>0</v>
      </c>
      <c r="AL596" s="4">
        <v>0</v>
      </c>
      <c r="AM596" s="4">
        <v>1</v>
      </c>
      <c r="AN596" s="4">
        <v>0</v>
      </c>
      <c r="AO596" s="4">
        <v>0</v>
      </c>
      <c r="AP596" s="3" t="s">
        <v>58</v>
      </c>
      <c r="AQ596" s="3" t="s">
        <v>58</v>
      </c>
      <c r="AS596" s="6" t="str">
        <f>HYPERLINK("https://creighton-primo.hosted.exlibrisgroup.com/primo-explore/search?tab=default_tab&amp;search_scope=EVERYTHING&amp;vid=01CRU&amp;lang=en_US&amp;offset=0&amp;query=any,contains,991005285299702656","Catalog Record")</f>
        <v>Catalog Record</v>
      </c>
      <c r="AT596" s="6" t="str">
        <f>HYPERLINK("http://www.worldcat.org/oclc/42682685","WorldCat Record")</f>
        <v>WorldCat Record</v>
      </c>
      <c r="AU596" s="3" t="s">
        <v>7621</v>
      </c>
      <c r="AV596" s="3" t="s">
        <v>7622</v>
      </c>
      <c r="AW596" s="3" t="s">
        <v>7623</v>
      </c>
      <c r="AX596" s="3" t="s">
        <v>7623</v>
      </c>
      <c r="AY596" s="3" t="s">
        <v>7624</v>
      </c>
      <c r="AZ596" s="3" t="s">
        <v>75</v>
      </c>
      <c r="BB596" s="3" t="s">
        <v>7625</v>
      </c>
      <c r="BC596" s="3" t="s">
        <v>7626</v>
      </c>
      <c r="BD596" s="3" t="s">
        <v>7627</v>
      </c>
    </row>
    <row r="597" spans="1:56" ht="39" customHeight="1" x14ac:dyDescent="0.25">
      <c r="A597" s="7" t="s">
        <v>58</v>
      </c>
      <c r="B597" s="2" t="s">
        <v>7628</v>
      </c>
      <c r="C597" s="2" t="s">
        <v>7629</v>
      </c>
      <c r="D597" s="2" t="s">
        <v>7630</v>
      </c>
      <c r="F597" s="3" t="s">
        <v>58</v>
      </c>
      <c r="G597" s="3" t="s">
        <v>59</v>
      </c>
      <c r="H597" s="3" t="s">
        <v>58</v>
      </c>
      <c r="I597" s="3" t="s">
        <v>58</v>
      </c>
      <c r="J597" s="3" t="s">
        <v>60</v>
      </c>
      <c r="K597" s="2" t="s">
        <v>7631</v>
      </c>
      <c r="L597" s="2" t="s">
        <v>7632</v>
      </c>
      <c r="M597" s="3" t="s">
        <v>682</v>
      </c>
      <c r="O597" s="3" t="s">
        <v>65</v>
      </c>
      <c r="P597" s="3" t="s">
        <v>954</v>
      </c>
      <c r="R597" s="3" t="s">
        <v>68</v>
      </c>
      <c r="S597" s="4">
        <v>4</v>
      </c>
      <c r="T597" s="4">
        <v>4</v>
      </c>
      <c r="U597" s="5" t="s">
        <v>7633</v>
      </c>
      <c r="V597" s="5" t="s">
        <v>7633</v>
      </c>
      <c r="W597" s="5" t="s">
        <v>7470</v>
      </c>
      <c r="X597" s="5" t="s">
        <v>7470</v>
      </c>
      <c r="Y597" s="4">
        <v>245</v>
      </c>
      <c r="Z597" s="4">
        <v>173</v>
      </c>
      <c r="AA597" s="4">
        <v>271</v>
      </c>
      <c r="AB597" s="4">
        <v>1</v>
      </c>
      <c r="AC597" s="4">
        <v>1</v>
      </c>
      <c r="AD597" s="4">
        <v>10</v>
      </c>
      <c r="AE597" s="4">
        <v>13</v>
      </c>
      <c r="AF597" s="4">
        <v>1</v>
      </c>
      <c r="AG597" s="4">
        <v>3</v>
      </c>
      <c r="AH597" s="4">
        <v>3</v>
      </c>
      <c r="AI597" s="4">
        <v>4</v>
      </c>
      <c r="AJ597" s="4">
        <v>8</v>
      </c>
      <c r="AK597" s="4">
        <v>9</v>
      </c>
      <c r="AL597" s="4">
        <v>0</v>
      </c>
      <c r="AM597" s="4">
        <v>0</v>
      </c>
      <c r="AN597" s="4">
        <v>0</v>
      </c>
      <c r="AO597" s="4">
        <v>0</v>
      </c>
      <c r="AP597" s="3" t="s">
        <v>58</v>
      </c>
      <c r="AQ597" s="3" t="s">
        <v>132</v>
      </c>
      <c r="AR597" s="6" t="str">
        <f>HYPERLINK("http://catalog.hathitrust.org/Record/007315416","HathiTrust Record")</f>
        <v>HathiTrust Record</v>
      </c>
      <c r="AS597" s="6" t="str">
        <f>HYPERLINK("https://creighton-primo.hosted.exlibrisgroup.com/primo-explore/search?tab=default_tab&amp;search_scope=EVERYTHING&amp;vid=01CRU&amp;lang=en_US&amp;offset=0&amp;query=any,contains,991002001229702656","Catalog Record")</f>
        <v>Catalog Record</v>
      </c>
      <c r="AT597" s="6" t="str">
        <f>HYPERLINK("http://www.worldcat.org/oclc/255727","WorldCat Record")</f>
        <v>WorldCat Record</v>
      </c>
      <c r="AU597" s="3" t="s">
        <v>7634</v>
      </c>
      <c r="AV597" s="3" t="s">
        <v>7635</v>
      </c>
      <c r="AW597" s="3" t="s">
        <v>7636</v>
      </c>
      <c r="AX597" s="3" t="s">
        <v>7636</v>
      </c>
      <c r="AY597" s="3" t="s">
        <v>7637</v>
      </c>
      <c r="AZ597" s="3" t="s">
        <v>75</v>
      </c>
      <c r="BC597" s="3" t="s">
        <v>7638</v>
      </c>
      <c r="BD597" s="3" t="s">
        <v>7639</v>
      </c>
    </row>
    <row r="598" spans="1:56" ht="39" customHeight="1" x14ac:dyDescent="0.25">
      <c r="A598" s="7" t="s">
        <v>58</v>
      </c>
      <c r="B598" s="2" t="s">
        <v>7640</v>
      </c>
      <c r="C598" s="2" t="s">
        <v>7641</v>
      </c>
      <c r="D598" s="2" t="s">
        <v>7642</v>
      </c>
      <c r="F598" s="3" t="s">
        <v>58</v>
      </c>
      <c r="G598" s="3" t="s">
        <v>59</v>
      </c>
      <c r="H598" s="3" t="s">
        <v>58</v>
      </c>
      <c r="I598" s="3" t="s">
        <v>58</v>
      </c>
      <c r="J598" s="3" t="s">
        <v>60</v>
      </c>
      <c r="K598" s="2" t="s">
        <v>7643</v>
      </c>
      <c r="L598" s="2" t="s">
        <v>7644</v>
      </c>
      <c r="M598" s="3" t="s">
        <v>427</v>
      </c>
      <c r="O598" s="3" t="s">
        <v>65</v>
      </c>
      <c r="P598" s="3" t="s">
        <v>113</v>
      </c>
      <c r="R598" s="3" t="s">
        <v>68</v>
      </c>
      <c r="S598" s="4">
        <v>1</v>
      </c>
      <c r="T598" s="4">
        <v>1</v>
      </c>
      <c r="U598" s="5" t="s">
        <v>6431</v>
      </c>
      <c r="V598" s="5" t="s">
        <v>6431</v>
      </c>
      <c r="W598" s="5" t="s">
        <v>7470</v>
      </c>
      <c r="X598" s="5" t="s">
        <v>7470</v>
      </c>
      <c r="Y598" s="4">
        <v>49</v>
      </c>
      <c r="Z598" s="4">
        <v>46</v>
      </c>
      <c r="AA598" s="4">
        <v>46</v>
      </c>
      <c r="AB598" s="4">
        <v>1</v>
      </c>
      <c r="AC598" s="4">
        <v>1</v>
      </c>
      <c r="AD598" s="4">
        <v>10</v>
      </c>
      <c r="AE598" s="4">
        <v>10</v>
      </c>
      <c r="AF598" s="4">
        <v>3</v>
      </c>
      <c r="AG598" s="4">
        <v>3</v>
      </c>
      <c r="AH598" s="4">
        <v>2</v>
      </c>
      <c r="AI598" s="4">
        <v>2</v>
      </c>
      <c r="AJ598" s="4">
        <v>9</v>
      </c>
      <c r="AK598" s="4">
        <v>9</v>
      </c>
      <c r="AL598" s="4">
        <v>0</v>
      </c>
      <c r="AM598" s="4">
        <v>0</v>
      </c>
      <c r="AN598" s="4">
        <v>0</v>
      </c>
      <c r="AO598" s="4">
        <v>0</v>
      </c>
      <c r="AP598" s="3" t="s">
        <v>58</v>
      </c>
      <c r="AQ598" s="3" t="s">
        <v>58</v>
      </c>
      <c r="AS598" s="6" t="str">
        <f>HYPERLINK("https://creighton-primo.hosted.exlibrisgroup.com/primo-explore/search?tab=default_tab&amp;search_scope=EVERYTHING&amp;vid=01CRU&amp;lang=en_US&amp;offset=0&amp;query=any,contains,991004918129702656","Catalog Record")</f>
        <v>Catalog Record</v>
      </c>
      <c r="AT598" s="6" t="str">
        <f>HYPERLINK("http://www.worldcat.org/oclc/6029039","WorldCat Record")</f>
        <v>WorldCat Record</v>
      </c>
      <c r="AU598" s="3" t="s">
        <v>7645</v>
      </c>
      <c r="AV598" s="3" t="s">
        <v>7646</v>
      </c>
      <c r="AW598" s="3" t="s">
        <v>7647</v>
      </c>
      <c r="AX598" s="3" t="s">
        <v>7647</v>
      </c>
      <c r="AY598" s="3" t="s">
        <v>7648</v>
      </c>
      <c r="AZ598" s="3" t="s">
        <v>75</v>
      </c>
      <c r="BC598" s="3" t="s">
        <v>7649</v>
      </c>
      <c r="BD598" s="3" t="s">
        <v>7650</v>
      </c>
    </row>
    <row r="599" spans="1:56" ht="39" customHeight="1" x14ac:dyDescent="0.25">
      <c r="A599" s="7" t="s">
        <v>58</v>
      </c>
      <c r="B599" s="2" t="s">
        <v>7651</v>
      </c>
      <c r="C599" s="2" t="s">
        <v>7652</v>
      </c>
      <c r="D599" s="2" t="s">
        <v>7653</v>
      </c>
      <c r="F599" s="3" t="s">
        <v>58</v>
      </c>
      <c r="G599" s="3" t="s">
        <v>59</v>
      </c>
      <c r="H599" s="3" t="s">
        <v>58</v>
      </c>
      <c r="I599" s="3" t="s">
        <v>58</v>
      </c>
      <c r="J599" s="3" t="s">
        <v>60</v>
      </c>
      <c r="K599" s="2" t="s">
        <v>7654</v>
      </c>
      <c r="L599" s="2" t="s">
        <v>7655</v>
      </c>
      <c r="M599" s="3" t="s">
        <v>273</v>
      </c>
      <c r="O599" s="3" t="s">
        <v>65</v>
      </c>
      <c r="P599" s="3" t="s">
        <v>1246</v>
      </c>
      <c r="R599" s="3" t="s">
        <v>68</v>
      </c>
      <c r="S599" s="4">
        <v>9</v>
      </c>
      <c r="T599" s="4">
        <v>9</v>
      </c>
      <c r="U599" s="5" t="s">
        <v>7021</v>
      </c>
      <c r="V599" s="5" t="s">
        <v>7021</v>
      </c>
      <c r="W599" s="5" t="s">
        <v>7656</v>
      </c>
      <c r="X599" s="5" t="s">
        <v>7656</v>
      </c>
      <c r="Y599" s="4">
        <v>92</v>
      </c>
      <c r="Z599" s="4">
        <v>81</v>
      </c>
      <c r="AA599" s="4">
        <v>81</v>
      </c>
      <c r="AB599" s="4">
        <v>1</v>
      </c>
      <c r="AC599" s="4">
        <v>1</v>
      </c>
      <c r="AD599" s="4">
        <v>10</v>
      </c>
      <c r="AE599" s="4">
        <v>10</v>
      </c>
      <c r="AF599" s="4">
        <v>4</v>
      </c>
      <c r="AG599" s="4">
        <v>4</v>
      </c>
      <c r="AH599" s="4">
        <v>2</v>
      </c>
      <c r="AI599" s="4">
        <v>2</v>
      </c>
      <c r="AJ599" s="4">
        <v>7</v>
      </c>
      <c r="AK599" s="4">
        <v>7</v>
      </c>
      <c r="AL599" s="4">
        <v>0</v>
      </c>
      <c r="AM599" s="4">
        <v>0</v>
      </c>
      <c r="AN599" s="4">
        <v>0</v>
      </c>
      <c r="AO599" s="4">
        <v>0</v>
      </c>
      <c r="AP599" s="3" t="s">
        <v>58</v>
      </c>
      <c r="AQ599" s="3" t="s">
        <v>58</v>
      </c>
      <c r="AS599" s="6" t="str">
        <f>HYPERLINK("https://creighton-primo.hosted.exlibrisgroup.com/primo-explore/search?tab=default_tab&amp;search_scope=EVERYTHING&amp;vid=01CRU&amp;lang=en_US&amp;offset=0&amp;query=any,contains,991002267179702656","Catalog Record")</f>
        <v>Catalog Record</v>
      </c>
      <c r="AT599" s="6" t="str">
        <f>HYPERLINK("http://www.worldcat.org/oclc/29420687","WorldCat Record")</f>
        <v>WorldCat Record</v>
      </c>
      <c r="AU599" s="3" t="s">
        <v>7657</v>
      </c>
      <c r="AV599" s="3" t="s">
        <v>7658</v>
      </c>
      <c r="AW599" s="3" t="s">
        <v>7659</v>
      </c>
      <c r="AX599" s="3" t="s">
        <v>7659</v>
      </c>
      <c r="AY599" s="3" t="s">
        <v>7660</v>
      </c>
      <c r="AZ599" s="3" t="s">
        <v>75</v>
      </c>
      <c r="BB599" s="3" t="s">
        <v>7661</v>
      </c>
      <c r="BC599" s="3" t="s">
        <v>7662</v>
      </c>
      <c r="BD599" s="3" t="s">
        <v>7663</v>
      </c>
    </row>
    <row r="600" spans="1:56" ht="39" customHeight="1" x14ac:dyDescent="0.25">
      <c r="A600" s="7" t="s">
        <v>58</v>
      </c>
      <c r="B600" s="2" t="s">
        <v>7664</v>
      </c>
      <c r="C600" s="2" t="s">
        <v>7665</v>
      </c>
      <c r="D600" s="2" t="s">
        <v>7666</v>
      </c>
      <c r="F600" s="3" t="s">
        <v>58</v>
      </c>
      <c r="G600" s="3" t="s">
        <v>59</v>
      </c>
      <c r="H600" s="3" t="s">
        <v>58</v>
      </c>
      <c r="I600" s="3" t="s">
        <v>58</v>
      </c>
      <c r="J600" s="3" t="s">
        <v>60</v>
      </c>
      <c r="K600" s="2" t="s">
        <v>7667</v>
      </c>
      <c r="L600" s="2" t="s">
        <v>7668</v>
      </c>
      <c r="M600" s="3" t="s">
        <v>1621</v>
      </c>
      <c r="O600" s="3" t="s">
        <v>65</v>
      </c>
      <c r="P600" s="3" t="s">
        <v>954</v>
      </c>
      <c r="R600" s="3" t="s">
        <v>68</v>
      </c>
      <c r="S600" s="4">
        <v>9</v>
      </c>
      <c r="T600" s="4">
        <v>9</v>
      </c>
      <c r="U600" s="5" t="s">
        <v>7669</v>
      </c>
      <c r="V600" s="5" t="s">
        <v>7669</v>
      </c>
      <c r="W600" s="5" t="s">
        <v>7470</v>
      </c>
      <c r="X600" s="5" t="s">
        <v>7470</v>
      </c>
      <c r="Y600" s="4">
        <v>213</v>
      </c>
      <c r="Z600" s="4">
        <v>168</v>
      </c>
      <c r="AA600" s="4">
        <v>184</v>
      </c>
      <c r="AB600" s="4">
        <v>1</v>
      </c>
      <c r="AC600" s="4">
        <v>2</v>
      </c>
      <c r="AD600" s="4">
        <v>17</v>
      </c>
      <c r="AE600" s="4">
        <v>17</v>
      </c>
      <c r="AF600" s="4">
        <v>4</v>
      </c>
      <c r="AG600" s="4">
        <v>4</v>
      </c>
      <c r="AH600" s="4">
        <v>5</v>
      </c>
      <c r="AI600" s="4">
        <v>5</v>
      </c>
      <c r="AJ600" s="4">
        <v>14</v>
      </c>
      <c r="AK600" s="4">
        <v>14</v>
      </c>
      <c r="AL600" s="4">
        <v>0</v>
      </c>
      <c r="AM600" s="4">
        <v>0</v>
      </c>
      <c r="AN600" s="4">
        <v>0</v>
      </c>
      <c r="AO600" s="4">
        <v>0</v>
      </c>
      <c r="AP600" s="3" t="s">
        <v>58</v>
      </c>
      <c r="AQ600" s="3" t="s">
        <v>58</v>
      </c>
      <c r="AS600" s="6" t="str">
        <f>HYPERLINK("https://creighton-primo.hosted.exlibrisgroup.com/primo-explore/search?tab=default_tab&amp;search_scope=EVERYTHING&amp;vid=01CRU&amp;lang=en_US&amp;offset=0&amp;query=any,contains,991003541469702656","Catalog Record")</f>
        <v>Catalog Record</v>
      </c>
      <c r="AT600" s="6" t="str">
        <f>HYPERLINK("http://www.worldcat.org/oclc/1105980","WorldCat Record")</f>
        <v>WorldCat Record</v>
      </c>
      <c r="AU600" s="3" t="s">
        <v>7670</v>
      </c>
      <c r="AV600" s="3" t="s">
        <v>7671</v>
      </c>
      <c r="AW600" s="3" t="s">
        <v>7672</v>
      </c>
      <c r="AX600" s="3" t="s">
        <v>7672</v>
      </c>
      <c r="AY600" s="3" t="s">
        <v>7673</v>
      </c>
      <c r="AZ600" s="3" t="s">
        <v>75</v>
      </c>
      <c r="BC600" s="3" t="s">
        <v>7674</v>
      </c>
      <c r="BD600" s="3" t="s">
        <v>7675</v>
      </c>
    </row>
    <row r="601" spans="1:56" ht="39" customHeight="1" x14ac:dyDescent="0.25">
      <c r="A601" s="7" t="s">
        <v>58</v>
      </c>
      <c r="B601" s="2" t="s">
        <v>7676</v>
      </c>
      <c r="C601" s="2" t="s">
        <v>7677</v>
      </c>
      <c r="D601" s="2" t="s">
        <v>7678</v>
      </c>
      <c r="F601" s="3" t="s">
        <v>58</v>
      </c>
      <c r="G601" s="3" t="s">
        <v>59</v>
      </c>
      <c r="H601" s="3" t="s">
        <v>58</v>
      </c>
      <c r="I601" s="3" t="s">
        <v>58</v>
      </c>
      <c r="J601" s="3" t="s">
        <v>60</v>
      </c>
      <c r="K601" s="2" t="s">
        <v>2242</v>
      </c>
      <c r="L601" s="2" t="s">
        <v>7679</v>
      </c>
      <c r="M601" s="3" t="s">
        <v>670</v>
      </c>
      <c r="O601" s="3" t="s">
        <v>65</v>
      </c>
      <c r="P601" s="3" t="s">
        <v>954</v>
      </c>
      <c r="R601" s="3" t="s">
        <v>68</v>
      </c>
      <c r="S601" s="4">
        <v>6</v>
      </c>
      <c r="T601" s="4">
        <v>6</v>
      </c>
      <c r="U601" s="5" t="s">
        <v>7680</v>
      </c>
      <c r="V601" s="5" t="s">
        <v>7680</v>
      </c>
      <c r="W601" s="5" t="s">
        <v>7470</v>
      </c>
      <c r="X601" s="5" t="s">
        <v>7470</v>
      </c>
      <c r="Y601" s="4">
        <v>168</v>
      </c>
      <c r="Z601" s="4">
        <v>142</v>
      </c>
      <c r="AA601" s="4">
        <v>148</v>
      </c>
      <c r="AB601" s="4">
        <v>2</v>
      </c>
      <c r="AC601" s="4">
        <v>2</v>
      </c>
      <c r="AD601" s="4">
        <v>14</v>
      </c>
      <c r="AE601" s="4">
        <v>14</v>
      </c>
      <c r="AF601" s="4">
        <v>5</v>
      </c>
      <c r="AG601" s="4">
        <v>5</v>
      </c>
      <c r="AH601" s="4">
        <v>4</v>
      </c>
      <c r="AI601" s="4">
        <v>4</v>
      </c>
      <c r="AJ601" s="4">
        <v>11</v>
      </c>
      <c r="AK601" s="4">
        <v>11</v>
      </c>
      <c r="AL601" s="4">
        <v>0</v>
      </c>
      <c r="AM601" s="4">
        <v>0</v>
      </c>
      <c r="AN601" s="4">
        <v>0</v>
      </c>
      <c r="AO601" s="4">
        <v>0</v>
      </c>
      <c r="AP601" s="3" t="s">
        <v>58</v>
      </c>
      <c r="AQ601" s="3" t="s">
        <v>58</v>
      </c>
      <c r="AS601" s="6" t="str">
        <f>HYPERLINK("https://creighton-primo.hosted.exlibrisgroup.com/primo-explore/search?tab=default_tab&amp;search_scope=EVERYTHING&amp;vid=01CRU&amp;lang=en_US&amp;offset=0&amp;query=any,contains,991002849939702656","Catalog Record")</f>
        <v>Catalog Record</v>
      </c>
      <c r="AT601" s="6" t="str">
        <f>HYPERLINK("http://www.worldcat.org/oclc/486194","WorldCat Record")</f>
        <v>WorldCat Record</v>
      </c>
      <c r="AU601" s="3" t="s">
        <v>7681</v>
      </c>
      <c r="AV601" s="3" t="s">
        <v>7682</v>
      </c>
      <c r="AW601" s="3" t="s">
        <v>7683</v>
      </c>
      <c r="AX601" s="3" t="s">
        <v>7683</v>
      </c>
      <c r="AY601" s="3" t="s">
        <v>7684</v>
      </c>
      <c r="AZ601" s="3" t="s">
        <v>75</v>
      </c>
      <c r="BC601" s="3" t="s">
        <v>7685</v>
      </c>
      <c r="BD601" s="3" t="s">
        <v>7686</v>
      </c>
    </row>
    <row r="602" spans="1:56" ht="39" customHeight="1" x14ac:dyDescent="0.25">
      <c r="A602" s="7" t="s">
        <v>58</v>
      </c>
      <c r="B602" s="2" t="s">
        <v>7687</v>
      </c>
      <c r="C602" s="2" t="s">
        <v>7688</v>
      </c>
      <c r="D602" s="2" t="s">
        <v>7689</v>
      </c>
      <c r="F602" s="3" t="s">
        <v>58</v>
      </c>
      <c r="G602" s="3" t="s">
        <v>59</v>
      </c>
      <c r="H602" s="3" t="s">
        <v>58</v>
      </c>
      <c r="I602" s="3" t="s">
        <v>58</v>
      </c>
      <c r="J602" s="3" t="s">
        <v>60</v>
      </c>
      <c r="L602" s="2" t="s">
        <v>7690</v>
      </c>
      <c r="M602" s="3" t="s">
        <v>427</v>
      </c>
      <c r="O602" s="3" t="s">
        <v>65</v>
      </c>
      <c r="P602" s="3" t="s">
        <v>304</v>
      </c>
      <c r="R602" s="3" t="s">
        <v>68</v>
      </c>
      <c r="S602" s="4">
        <v>1</v>
      </c>
      <c r="T602" s="4">
        <v>1</v>
      </c>
      <c r="U602" s="5" t="s">
        <v>2508</v>
      </c>
      <c r="V602" s="5" t="s">
        <v>2508</v>
      </c>
      <c r="W602" s="5" t="s">
        <v>2508</v>
      </c>
      <c r="X602" s="5" t="s">
        <v>2508</v>
      </c>
      <c r="Y602" s="4">
        <v>198</v>
      </c>
      <c r="Z602" s="4">
        <v>179</v>
      </c>
      <c r="AA602" s="4">
        <v>388</v>
      </c>
      <c r="AB602" s="4">
        <v>2</v>
      </c>
      <c r="AC602" s="4">
        <v>3</v>
      </c>
      <c r="AD602" s="4">
        <v>19</v>
      </c>
      <c r="AE602" s="4">
        <v>26</v>
      </c>
      <c r="AF602" s="4">
        <v>3</v>
      </c>
      <c r="AG602" s="4">
        <v>8</v>
      </c>
      <c r="AH602" s="4">
        <v>5</v>
      </c>
      <c r="AI602" s="4">
        <v>6</v>
      </c>
      <c r="AJ602" s="4">
        <v>15</v>
      </c>
      <c r="AK602" s="4">
        <v>17</v>
      </c>
      <c r="AL602" s="4">
        <v>0</v>
      </c>
      <c r="AM602" s="4">
        <v>1</v>
      </c>
      <c r="AN602" s="4">
        <v>0</v>
      </c>
      <c r="AO602" s="4">
        <v>0</v>
      </c>
      <c r="AP602" s="3" t="s">
        <v>58</v>
      </c>
      <c r="AQ602" s="3" t="s">
        <v>132</v>
      </c>
      <c r="AR602" s="6" t="str">
        <f>HYPERLINK("http://catalog.hathitrust.org/Record/006019372","HathiTrust Record")</f>
        <v>HathiTrust Record</v>
      </c>
      <c r="AS602" s="6" t="str">
        <f>HYPERLINK("https://creighton-primo.hosted.exlibrisgroup.com/primo-explore/search?tab=default_tab&amp;search_scope=EVERYTHING&amp;vid=01CRU&amp;lang=en_US&amp;offset=0&amp;query=any,contains,991005325799702656","Catalog Record")</f>
        <v>Catalog Record</v>
      </c>
      <c r="AT602" s="6" t="str">
        <f>HYPERLINK("http://www.worldcat.org/oclc/5264670","WorldCat Record")</f>
        <v>WorldCat Record</v>
      </c>
      <c r="AU602" s="3" t="s">
        <v>7691</v>
      </c>
      <c r="AV602" s="3" t="s">
        <v>7692</v>
      </c>
      <c r="AW602" s="3" t="s">
        <v>7693</v>
      </c>
      <c r="AX602" s="3" t="s">
        <v>7693</v>
      </c>
      <c r="AY602" s="3" t="s">
        <v>7694</v>
      </c>
      <c r="AZ602" s="3" t="s">
        <v>75</v>
      </c>
      <c r="BB602" s="3" t="s">
        <v>7695</v>
      </c>
      <c r="BC602" s="3" t="s">
        <v>7696</v>
      </c>
      <c r="BD602" s="3" t="s">
        <v>7697</v>
      </c>
    </row>
    <row r="603" spans="1:56" ht="39" customHeight="1" x14ac:dyDescent="0.25">
      <c r="A603" s="7" t="s">
        <v>58</v>
      </c>
      <c r="B603" s="2" t="s">
        <v>7698</v>
      </c>
      <c r="C603" s="2" t="s">
        <v>7699</v>
      </c>
      <c r="D603" s="2" t="s">
        <v>7700</v>
      </c>
      <c r="F603" s="3" t="s">
        <v>58</v>
      </c>
      <c r="G603" s="3" t="s">
        <v>59</v>
      </c>
      <c r="H603" s="3" t="s">
        <v>58</v>
      </c>
      <c r="I603" s="3" t="s">
        <v>58</v>
      </c>
      <c r="J603" s="3" t="s">
        <v>60</v>
      </c>
      <c r="K603" s="2" t="s">
        <v>7701</v>
      </c>
      <c r="L603" s="2" t="s">
        <v>7702</v>
      </c>
      <c r="M603" s="3" t="s">
        <v>427</v>
      </c>
      <c r="N603" s="2" t="s">
        <v>476</v>
      </c>
      <c r="O603" s="3" t="s">
        <v>65</v>
      </c>
      <c r="P603" s="3" t="s">
        <v>186</v>
      </c>
      <c r="R603" s="3" t="s">
        <v>68</v>
      </c>
      <c r="S603" s="4">
        <v>3</v>
      </c>
      <c r="T603" s="4">
        <v>3</v>
      </c>
      <c r="U603" s="5" t="s">
        <v>7703</v>
      </c>
      <c r="V603" s="5" t="s">
        <v>7703</v>
      </c>
      <c r="W603" s="5" t="s">
        <v>2704</v>
      </c>
      <c r="X603" s="5" t="s">
        <v>2704</v>
      </c>
      <c r="Y603" s="4">
        <v>397</v>
      </c>
      <c r="Z603" s="4">
        <v>351</v>
      </c>
      <c r="AA603" s="4">
        <v>486</v>
      </c>
      <c r="AB603" s="4">
        <v>4</v>
      </c>
      <c r="AC603" s="4">
        <v>6</v>
      </c>
      <c r="AD603" s="4">
        <v>27</v>
      </c>
      <c r="AE603" s="4">
        <v>35</v>
      </c>
      <c r="AF603" s="4">
        <v>10</v>
      </c>
      <c r="AG603" s="4">
        <v>13</v>
      </c>
      <c r="AH603" s="4">
        <v>5</v>
      </c>
      <c r="AI603" s="4">
        <v>6</v>
      </c>
      <c r="AJ603" s="4">
        <v>16</v>
      </c>
      <c r="AK603" s="4">
        <v>22</v>
      </c>
      <c r="AL603" s="4">
        <v>2</v>
      </c>
      <c r="AM603" s="4">
        <v>4</v>
      </c>
      <c r="AN603" s="4">
        <v>0</v>
      </c>
      <c r="AO603" s="4">
        <v>0</v>
      </c>
      <c r="AP603" s="3" t="s">
        <v>58</v>
      </c>
      <c r="AQ603" s="3" t="s">
        <v>58</v>
      </c>
      <c r="AS603" s="6" t="str">
        <f>HYPERLINK("https://creighton-primo.hosted.exlibrisgroup.com/primo-explore/search?tab=default_tab&amp;search_scope=EVERYTHING&amp;vid=01CRU&amp;lang=en_US&amp;offset=0&amp;query=any,contains,991004731939702656","Catalog Record")</f>
        <v>Catalog Record</v>
      </c>
      <c r="AT603" s="6" t="str">
        <f>HYPERLINK("http://www.worldcat.org/oclc/4835230","WorldCat Record")</f>
        <v>WorldCat Record</v>
      </c>
      <c r="AU603" s="3" t="s">
        <v>7704</v>
      </c>
      <c r="AV603" s="3" t="s">
        <v>7705</v>
      </c>
      <c r="AW603" s="3" t="s">
        <v>7706</v>
      </c>
      <c r="AX603" s="3" t="s">
        <v>7706</v>
      </c>
      <c r="AY603" s="3" t="s">
        <v>7707</v>
      </c>
      <c r="AZ603" s="3" t="s">
        <v>75</v>
      </c>
      <c r="BB603" s="3" t="s">
        <v>7708</v>
      </c>
      <c r="BC603" s="3" t="s">
        <v>7709</v>
      </c>
      <c r="BD603" s="3" t="s">
        <v>7710</v>
      </c>
    </row>
    <row r="604" spans="1:56" ht="39" customHeight="1" x14ac:dyDescent="0.25">
      <c r="A604" s="7" t="s">
        <v>58</v>
      </c>
      <c r="B604" s="2" t="s">
        <v>7711</v>
      </c>
      <c r="C604" s="2" t="s">
        <v>7712</v>
      </c>
      <c r="D604" s="2" t="s">
        <v>7713</v>
      </c>
      <c r="F604" s="3" t="s">
        <v>58</v>
      </c>
      <c r="G604" s="3" t="s">
        <v>59</v>
      </c>
      <c r="H604" s="3" t="s">
        <v>58</v>
      </c>
      <c r="I604" s="3" t="s">
        <v>58</v>
      </c>
      <c r="J604" s="3" t="s">
        <v>60</v>
      </c>
      <c r="K604" s="2" t="s">
        <v>7701</v>
      </c>
      <c r="L604" s="2" t="s">
        <v>7714</v>
      </c>
      <c r="M604" s="3" t="s">
        <v>462</v>
      </c>
      <c r="N604" s="2" t="s">
        <v>476</v>
      </c>
      <c r="O604" s="3" t="s">
        <v>65</v>
      </c>
      <c r="P604" s="3" t="s">
        <v>186</v>
      </c>
      <c r="R604" s="3" t="s">
        <v>68</v>
      </c>
      <c r="S604" s="4">
        <v>2</v>
      </c>
      <c r="T604" s="4">
        <v>2</v>
      </c>
      <c r="U604" s="5" t="s">
        <v>6589</v>
      </c>
      <c r="V604" s="5" t="s">
        <v>6589</v>
      </c>
      <c r="W604" s="5" t="s">
        <v>6589</v>
      </c>
      <c r="X604" s="5" t="s">
        <v>6589</v>
      </c>
      <c r="Y604" s="4">
        <v>304</v>
      </c>
      <c r="Z604" s="4">
        <v>273</v>
      </c>
      <c r="AA604" s="4">
        <v>338</v>
      </c>
      <c r="AB604" s="4">
        <v>3</v>
      </c>
      <c r="AC604" s="4">
        <v>3</v>
      </c>
      <c r="AD604" s="4">
        <v>15</v>
      </c>
      <c r="AE604" s="4">
        <v>20</v>
      </c>
      <c r="AF604" s="4">
        <v>3</v>
      </c>
      <c r="AG604" s="4">
        <v>6</v>
      </c>
      <c r="AH604" s="4">
        <v>5</v>
      </c>
      <c r="AI604" s="4">
        <v>5</v>
      </c>
      <c r="AJ604" s="4">
        <v>11</v>
      </c>
      <c r="AK604" s="4">
        <v>16</v>
      </c>
      <c r="AL604" s="4">
        <v>1</v>
      </c>
      <c r="AM604" s="4">
        <v>1</v>
      </c>
      <c r="AN604" s="4">
        <v>0</v>
      </c>
      <c r="AO604" s="4">
        <v>0</v>
      </c>
      <c r="AP604" s="3" t="s">
        <v>58</v>
      </c>
      <c r="AQ604" s="3" t="s">
        <v>58</v>
      </c>
      <c r="AS604" s="6" t="str">
        <f>HYPERLINK("https://creighton-primo.hosted.exlibrisgroup.com/primo-explore/search?tab=default_tab&amp;search_scope=EVERYTHING&amp;vid=01CRU&amp;lang=en_US&amp;offset=0&amp;query=any,contains,991003852679702656","Catalog Record")</f>
        <v>Catalog Record</v>
      </c>
      <c r="AT604" s="6" t="str">
        <f>HYPERLINK("http://www.worldcat.org/oclc/10558022","WorldCat Record")</f>
        <v>WorldCat Record</v>
      </c>
      <c r="AU604" s="3" t="s">
        <v>7715</v>
      </c>
      <c r="AV604" s="3" t="s">
        <v>7716</v>
      </c>
      <c r="AW604" s="3" t="s">
        <v>7717</v>
      </c>
      <c r="AX604" s="3" t="s">
        <v>7717</v>
      </c>
      <c r="AY604" s="3" t="s">
        <v>7718</v>
      </c>
      <c r="AZ604" s="3" t="s">
        <v>75</v>
      </c>
      <c r="BB604" s="3" t="s">
        <v>7719</v>
      </c>
      <c r="BC604" s="3" t="s">
        <v>7720</v>
      </c>
      <c r="BD604" s="3" t="s">
        <v>7721</v>
      </c>
    </row>
    <row r="605" spans="1:56" ht="39" customHeight="1" x14ac:dyDescent="0.25">
      <c r="A605" s="7" t="s">
        <v>58</v>
      </c>
      <c r="B605" s="2" t="s">
        <v>7722</v>
      </c>
      <c r="C605" s="2" t="s">
        <v>7723</v>
      </c>
      <c r="D605" s="2" t="s">
        <v>7724</v>
      </c>
      <c r="F605" s="3" t="s">
        <v>58</v>
      </c>
      <c r="G605" s="3" t="s">
        <v>59</v>
      </c>
      <c r="H605" s="3" t="s">
        <v>58</v>
      </c>
      <c r="I605" s="3" t="s">
        <v>58</v>
      </c>
      <c r="J605" s="3" t="s">
        <v>60</v>
      </c>
      <c r="K605" s="2" t="s">
        <v>7725</v>
      </c>
      <c r="L605" s="2" t="s">
        <v>7726</v>
      </c>
      <c r="M605" s="3" t="s">
        <v>185</v>
      </c>
      <c r="O605" s="3" t="s">
        <v>65</v>
      </c>
      <c r="P605" s="3" t="s">
        <v>304</v>
      </c>
      <c r="R605" s="3" t="s">
        <v>68</v>
      </c>
      <c r="S605" s="4">
        <v>5</v>
      </c>
      <c r="T605" s="4">
        <v>5</v>
      </c>
      <c r="U605" s="5" t="s">
        <v>7727</v>
      </c>
      <c r="V605" s="5" t="s">
        <v>7727</v>
      </c>
      <c r="W605" s="5" t="s">
        <v>7728</v>
      </c>
      <c r="X605" s="5" t="s">
        <v>7728</v>
      </c>
      <c r="Y605" s="4">
        <v>151</v>
      </c>
      <c r="Z605" s="4">
        <v>134</v>
      </c>
      <c r="AA605" s="4">
        <v>139</v>
      </c>
      <c r="AB605" s="4">
        <v>2</v>
      </c>
      <c r="AC605" s="4">
        <v>2</v>
      </c>
      <c r="AD605" s="4">
        <v>5</v>
      </c>
      <c r="AE605" s="4">
        <v>5</v>
      </c>
      <c r="AF605" s="4">
        <v>1</v>
      </c>
      <c r="AG605" s="4">
        <v>1</v>
      </c>
      <c r="AH605" s="4">
        <v>2</v>
      </c>
      <c r="AI605" s="4">
        <v>2</v>
      </c>
      <c r="AJ605" s="4">
        <v>4</v>
      </c>
      <c r="AK605" s="4">
        <v>4</v>
      </c>
      <c r="AL605" s="4">
        <v>0</v>
      </c>
      <c r="AM605" s="4">
        <v>0</v>
      </c>
      <c r="AN605" s="4">
        <v>0</v>
      </c>
      <c r="AO605" s="4">
        <v>0</v>
      </c>
      <c r="AP605" s="3" t="s">
        <v>58</v>
      </c>
      <c r="AQ605" s="3" t="s">
        <v>58</v>
      </c>
      <c r="AS605" s="6" t="str">
        <f>HYPERLINK("https://creighton-primo.hosted.exlibrisgroup.com/primo-explore/search?tab=default_tab&amp;search_scope=EVERYTHING&amp;vid=01CRU&amp;lang=en_US&amp;offset=0&amp;query=any,contains,991003053309702656","Catalog Record")</f>
        <v>Catalog Record</v>
      </c>
      <c r="AT605" s="6" t="str">
        <f>HYPERLINK("http://www.worldcat.org/oclc/43442596","WorldCat Record")</f>
        <v>WorldCat Record</v>
      </c>
      <c r="AU605" s="3" t="s">
        <v>7729</v>
      </c>
      <c r="AV605" s="3" t="s">
        <v>7730</v>
      </c>
      <c r="AW605" s="3" t="s">
        <v>7731</v>
      </c>
      <c r="AX605" s="3" t="s">
        <v>7731</v>
      </c>
      <c r="AY605" s="3" t="s">
        <v>7732</v>
      </c>
      <c r="AZ605" s="3" t="s">
        <v>75</v>
      </c>
      <c r="BB605" s="3" t="s">
        <v>7733</v>
      </c>
      <c r="BC605" s="3" t="s">
        <v>7734</v>
      </c>
      <c r="BD605" s="3" t="s">
        <v>7735</v>
      </c>
    </row>
    <row r="606" spans="1:56" ht="39" customHeight="1" x14ac:dyDescent="0.25">
      <c r="A606" s="7" t="s">
        <v>58</v>
      </c>
      <c r="B606" s="2" t="s">
        <v>7736</v>
      </c>
      <c r="C606" s="2" t="s">
        <v>7737</v>
      </c>
      <c r="D606" s="2" t="s">
        <v>7738</v>
      </c>
      <c r="F606" s="3" t="s">
        <v>58</v>
      </c>
      <c r="G606" s="3" t="s">
        <v>59</v>
      </c>
      <c r="H606" s="3" t="s">
        <v>58</v>
      </c>
      <c r="I606" s="3" t="s">
        <v>58</v>
      </c>
      <c r="J606" s="3" t="s">
        <v>60</v>
      </c>
      <c r="K606" s="2" t="s">
        <v>7739</v>
      </c>
      <c r="L606" s="2" t="s">
        <v>7740</v>
      </c>
      <c r="M606" s="3" t="s">
        <v>98</v>
      </c>
      <c r="O606" s="3" t="s">
        <v>65</v>
      </c>
      <c r="P606" s="3" t="s">
        <v>492</v>
      </c>
      <c r="R606" s="3" t="s">
        <v>68</v>
      </c>
      <c r="S606" s="4">
        <v>4</v>
      </c>
      <c r="T606" s="4">
        <v>4</v>
      </c>
      <c r="U606" s="5" t="s">
        <v>7741</v>
      </c>
      <c r="V606" s="5" t="s">
        <v>7741</v>
      </c>
      <c r="W606" s="5" t="s">
        <v>6881</v>
      </c>
      <c r="X606" s="5" t="s">
        <v>6881</v>
      </c>
      <c r="Y606" s="4">
        <v>94</v>
      </c>
      <c r="Z606" s="4">
        <v>84</v>
      </c>
      <c r="AA606" s="4">
        <v>84</v>
      </c>
      <c r="AB606" s="4">
        <v>1</v>
      </c>
      <c r="AC606" s="4">
        <v>1</v>
      </c>
      <c r="AD606" s="4">
        <v>11</v>
      </c>
      <c r="AE606" s="4">
        <v>11</v>
      </c>
      <c r="AF606" s="4">
        <v>4</v>
      </c>
      <c r="AG606" s="4">
        <v>4</v>
      </c>
      <c r="AH606" s="4">
        <v>3</v>
      </c>
      <c r="AI606" s="4">
        <v>3</v>
      </c>
      <c r="AJ606" s="4">
        <v>6</v>
      </c>
      <c r="AK606" s="4">
        <v>6</v>
      </c>
      <c r="AL606" s="4">
        <v>0</v>
      </c>
      <c r="AM606" s="4">
        <v>0</v>
      </c>
      <c r="AN606" s="4">
        <v>0</v>
      </c>
      <c r="AO606" s="4">
        <v>0</v>
      </c>
      <c r="AP606" s="3" t="s">
        <v>58</v>
      </c>
      <c r="AQ606" s="3" t="s">
        <v>58</v>
      </c>
      <c r="AS606" s="6" t="str">
        <f>HYPERLINK("https://creighton-primo.hosted.exlibrisgroup.com/primo-explore/search?tab=default_tab&amp;search_scope=EVERYTHING&amp;vid=01CRU&amp;lang=en_US&amp;offset=0&amp;query=any,contains,991004908579702656","Catalog Record")</f>
        <v>Catalog Record</v>
      </c>
      <c r="AT606" s="6" t="str">
        <f>HYPERLINK("http://www.worldcat.org/oclc/5972324","WorldCat Record")</f>
        <v>WorldCat Record</v>
      </c>
      <c r="AU606" s="3" t="s">
        <v>7742</v>
      </c>
      <c r="AV606" s="3" t="s">
        <v>7743</v>
      </c>
      <c r="AW606" s="3" t="s">
        <v>7744</v>
      </c>
      <c r="AX606" s="3" t="s">
        <v>7744</v>
      </c>
      <c r="AY606" s="3" t="s">
        <v>7745</v>
      </c>
      <c r="AZ606" s="3" t="s">
        <v>75</v>
      </c>
      <c r="BC606" s="3" t="s">
        <v>7746</v>
      </c>
      <c r="BD606" s="3" t="s">
        <v>7747</v>
      </c>
    </row>
    <row r="607" spans="1:56" ht="39" customHeight="1" x14ac:dyDescent="0.25">
      <c r="A607" s="7" t="s">
        <v>58</v>
      </c>
      <c r="B607" s="2" t="s">
        <v>7748</v>
      </c>
      <c r="C607" s="2" t="s">
        <v>7749</v>
      </c>
      <c r="D607" s="2" t="s">
        <v>7750</v>
      </c>
      <c r="F607" s="3" t="s">
        <v>58</v>
      </c>
      <c r="G607" s="3" t="s">
        <v>59</v>
      </c>
      <c r="H607" s="3" t="s">
        <v>58</v>
      </c>
      <c r="I607" s="3" t="s">
        <v>58</v>
      </c>
      <c r="J607" s="3" t="s">
        <v>60</v>
      </c>
      <c r="K607" s="2" t="s">
        <v>7751</v>
      </c>
      <c r="L607" s="2" t="s">
        <v>7752</v>
      </c>
      <c r="M607" s="3" t="s">
        <v>1723</v>
      </c>
      <c r="O607" s="3" t="s">
        <v>65</v>
      </c>
      <c r="P607" s="3" t="s">
        <v>186</v>
      </c>
      <c r="Q607" s="2" t="s">
        <v>7753</v>
      </c>
      <c r="R607" s="3" t="s">
        <v>68</v>
      </c>
      <c r="S607" s="4">
        <v>1</v>
      </c>
      <c r="T607" s="4">
        <v>1</v>
      </c>
      <c r="U607" s="5" t="s">
        <v>7754</v>
      </c>
      <c r="V607" s="5" t="s">
        <v>7754</v>
      </c>
      <c r="W607" s="5" t="s">
        <v>7754</v>
      </c>
      <c r="X607" s="5" t="s">
        <v>7754</v>
      </c>
      <c r="Y607" s="4">
        <v>166</v>
      </c>
      <c r="Z607" s="4">
        <v>147</v>
      </c>
      <c r="AA607" s="4">
        <v>149</v>
      </c>
      <c r="AB607" s="4">
        <v>2</v>
      </c>
      <c r="AC607" s="4">
        <v>2</v>
      </c>
      <c r="AD607" s="4">
        <v>16</v>
      </c>
      <c r="AE607" s="4">
        <v>16</v>
      </c>
      <c r="AF607" s="4">
        <v>6</v>
      </c>
      <c r="AG607" s="4">
        <v>6</v>
      </c>
      <c r="AH607" s="4">
        <v>4</v>
      </c>
      <c r="AI607" s="4">
        <v>4</v>
      </c>
      <c r="AJ607" s="4">
        <v>9</v>
      </c>
      <c r="AK607" s="4">
        <v>9</v>
      </c>
      <c r="AL607" s="4">
        <v>1</v>
      </c>
      <c r="AM607" s="4">
        <v>1</v>
      </c>
      <c r="AN607" s="4">
        <v>0</v>
      </c>
      <c r="AO607" s="4">
        <v>0</v>
      </c>
      <c r="AP607" s="3" t="s">
        <v>58</v>
      </c>
      <c r="AQ607" s="3" t="s">
        <v>132</v>
      </c>
      <c r="AR607" s="6" t="str">
        <f>HYPERLINK("http://catalog.hathitrust.org/Record/004217276","HathiTrust Record")</f>
        <v>HathiTrust Record</v>
      </c>
      <c r="AS607" s="6" t="str">
        <f>HYPERLINK("https://creighton-primo.hosted.exlibrisgroup.com/primo-explore/search?tab=default_tab&amp;search_scope=EVERYTHING&amp;vid=01CRU&amp;lang=en_US&amp;offset=0&amp;query=any,contains,991004950729702656","Catalog Record")</f>
        <v>Catalog Record</v>
      </c>
      <c r="AT607" s="6" t="str">
        <f>HYPERLINK("http://www.worldcat.org/oclc/47443978","WorldCat Record")</f>
        <v>WorldCat Record</v>
      </c>
      <c r="AU607" s="3" t="s">
        <v>7755</v>
      </c>
      <c r="AV607" s="3" t="s">
        <v>7756</v>
      </c>
      <c r="AW607" s="3" t="s">
        <v>7757</v>
      </c>
      <c r="AX607" s="3" t="s">
        <v>7757</v>
      </c>
      <c r="AY607" s="3" t="s">
        <v>7758</v>
      </c>
      <c r="AZ607" s="3" t="s">
        <v>75</v>
      </c>
      <c r="BB607" s="3" t="s">
        <v>7759</v>
      </c>
      <c r="BC607" s="3" t="s">
        <v>7760</v>
      </c>
      <c r="BD607" s="3" t="s">
        <v>7761</v>
      </c>
    </row>
    <row r="608" spans="1:56" ht="39" customHeight="1" x14ac:dyDescent="0.25">
      <c r="A608" s="7" t="s">
        <v>58</v>
      </c>
      <c r="B608" s="2" t="s">
        <v>7762</v>
      </c>
      <c r="C608" s="2" t="s">
        <v>7763</v>
      </c>
      <c r="D608" s="2" t="s">
        <v>7764</v>
      </c>
      <c r="F608" s="3" t="s">
        <v>58</v>
      </c>
      <c r="G608" s="3" t="s">
        <v>59</v>
      </c>
      <c r="H608" s="3" t="s">
        <v>58</v>
      </c>
      <c r="I608" s="3" t="s">
        <v>58</v>
      </c>
      <c r="J608" s="3" t="s">
        <v>60</v>
      </c>
      <c r="K608" s="2" t="s">
        <v>7765</v>
      </c>
      <c r="L608" s="2" t="s">
        <v>7766</v>
      </c>
      <c r="M608" s="3" t="s">
        <v>3920</v>
      </c>
      <c r="O608" s="3" t="s">
        <v>65</v>
      </c>
      <c r="P608" s="3" t="s">
        <v>158</v>
      </c>
      <c r="R608" s="3" t="s">
        <v>68</v>
      </c>
      <c r="S608" s="4">
        <v>2</v>
      </c>
      <c r="T608" s="4">
        <v>2</v>
      </c>
      <c r="U608" s="5" t="s">
        <v>7767</v>
      </c>
      <c r="V608" s="5" t="s">
        <v>7767</v>
      </c>
      <c r="W608" s="5" t="s">
        <v>7768</v>
      </c>
      <c r="X608" s="5" t="s">
        <v>7768</v>
      </c>
      <c r="Y608" s="4">
        <v>579</v>
      </c>
      <c r="Z608" s="4">
        <v>512</v>
      </c>
      <c r="AA608" s="4">
        <v>565</v>
      </c>
      <c r="AB608" s="4">
        <v>4</v>
      </c>
      <c r="AC608" s="4">
        <v>5</v>
      </c>
      <c r="AD608" s="4">
        <v>17</v>
      </c>
      <c r="AE608" s="4">
        <v>19</v>
      </c>
      <c r="AF608" s="4">
        <v>8</v>
      </c>
      <c r="AG608" s="4">
        <v>9</v>
      </c>
      <c r="AH608" s="4">
        <v>3</v>
      </c>
      <c r="AI608" s="4">
        <v>4</v>
      </c>
      <c r="AJ608" s="4">
        <v>6</v>
      </c>
      <c r="AK608" s="4">
        <v>6</v>
      </c>
      <c r="AL608" s="4">
        <v>3</v>
      </c>
      <c r="AM608" s="4">
        <v>4</v>
      </c>
      <c r="AN608" s="4">
        <v>0</v>
      </c>
      <c r="AO608" s="4">
        <v>0</v>
      </c>
      <c r="AP608" s="3" t="s">
        <v>58</v>
      </c>
      <c r="AQ608" s="3" t="s">
        <v>58</v>
      </c>
      <c r="AS608" s="6" t="str">
        <f>HYPERLINK("https://creighton-primo.hosted.exlibrisgroup.com/primo-explore/search?tab=default_tab&amp;search_scope=EVERYTHING&amp;vid=01CRU&amp;lang=en_US&amp;offset=0&amp;query=any,contains,991004708789702656","Catalog Record")</f>
        <v>Catalog Record</v>
      </c>
      <c r="AT608" s="6" t="str">
        <f>HYPERLINK("http://www.worldcat.org/oclc/56598605","WorldCat Record")</f>
        <v>WorldCat Record</v>
      </c>
      <c r="AU608" s="3" t="s">
        <v>7769</v>
      </c>
      <c r="AV608" s="3" t="s">
        <v>7770</v>
      </c>
      <c r="AW608" s="3" t="s">
        <v>7771</v>
      </c>
      <c r="AX608" s="3" t="s">
        <v>7771</v>
      </c>
      <c r="AY608" s="3" t="s">
        <v>7772</v>
      </c>
      <c r="AZ608" s="3" t="s">
        <v>75</v>
      </c>
      <c r="BB608" s="3" t="s">
        <v>7773</v>
      </c>
      <c r="BC608" s="3" t="s">
        <v>7774</v>
      </c>
      <c r="BD608" s="3" t="s">
        <v>7775</v>
      </c>
    </row>
    <row r="609" spans="1:56" ht="39" customHeight="1" x14ac:dyDescent="0.25">
      <c r="A609" s="7" t="s">
        <v>58</v>
      </c>
      <c r="B609" s="2" t="s">
        <v>7776</v>
      </c>
      <c r="C609" s="2" t="s">
        <v>7777</v>
      </c>
      <c r="D609" s="2" t="s">
        <v>7778</v>
      </c>
      <c r="F609" s="3" t="s">
        <v>58</v>
      </c>
      <c r="G609" s="3" t="s">
        <v>59</v>
      </c>
      <c r="H609" s="3" t="s">
        <v>58</v>
      </c>
      <c r="I609" s="3" t="s">
        <v>58</v>
      </c>
      <c r="J609" s="3" t="s">
        <v>60</v>
      </c>
      <c r="K609" s="2" t="s">
        <v>7779</v>
      </c>
      <c r="L609" s="2" t="s">
        <v>7780</v>
      </c>
      <c r="M609" s="3" t="s">
        <v>3920</v>
      </c>
      <c r="N609" s="2" t="s">
        <v>476</v>
      </c>
      <c r="O609" s="3" t="s">
        <v>65</v>
      </c>
      <c r="P609" s="3" t="s">
        <v>477</v>
      </c>
      <c r="R609" s="3" t="s">
        <v>68</v>
      </c>
      <c r="S609" s="4">
        <v>3</v>
      </c>
      <c r="T609" s="4">
        <v>3</v>
      </c>
      <c r="U609" s="5" t="s">
        <v>7781</v>
      </c>
      <c r="V609" s="5" t="s">
        <v>7781</v>
      </c>
      <c r="W609" s="5" t="s">
        <v>7782</v>
      </c>
      <c r="X609" s="5" t="s">
        <v>7782</v>
      </c>
      <c r="Y609" s="4">
        <v>181</v>
      </c>
      <c r="Z609" s="4">
        <v>158</v>
      </c>
      <c r="AA609" s="4">
        <v>163</v>
      </c>
      <c r="AB609" s="4">
        <v>2</v>
      </c>
      <c r="AC609" s="4">
        <v>2</v>
      </c>
      <c r="AD609" s="4">
        <v>4</v>
      </c>
      <c r="AE609" s="4">
        <v>4</v>
      </c>
      <c r="AF609" s="4">
        <v>3</v>
      </c>
      <c r="AG609" s="4">
        <v>3</v>
      </c>
      <c r="AH609" s="4">
        <v>0</v>
      </c>
      <c r="AI609" s="4">
        <v>0</v>
      </c>
      <c r="AJ609" s="4">
        <v>1</v>
      </c>
      <c r="AK609" s="4">
        <v>1</v>
      </c>
      <c r="AL609" s="4">
        <v>0</v>
      </c>
      <c r="AM609" s="4">
        <v>0</v>
      </c>
      <c r="AN609" s="4">
        <v>0</v>
      </c>
      <c r="AO609" s="4">
        <v>0</v>
      </c>
      <c r="AP609" s="3" t="s">
        <v>58</v>
      </c>
      <c r="AQ609" s="3" t="s">
        <v>58</v>
      </c>
      <c r="AS609" s="6" t="str">
        <f>HYPERLINK("https://creighton-primo.hosted.exlibrisgroup.com/primo-explore/search?tab=default_tab&amp;search_scope=EVERYTHING&amp;vid=01CRU&amp;lang=en_US&amp;offset=0&amp;query=any,contains,991004781299702656","Catalog Record")</f>
        <v>Catalog Record</v>
      </c>
      <c r="AT609" s="6" t="str">
        <f>HYPERLINK("http://www.worldcat.org/oclc/56840496","WorldCat Record")</f>
        <v>WorldCat Record</v>
      </c>
      <c r="AU609" s="3" t="s">
        <v>7783</v>
      </c>
      <c r="AV609" s="3" t="s">
        <v>7784</v>
      </c>
      <c r="AW609" s="3" t="s">
        <v>7785</v>
      </c>
      <c r="AX609" s="3" t="s">
        <v>7785</v>
      </c>
      <c r="AY609" s="3" t="s">
        <v>7786</v>
      </c>
      <c r="AZ609" s="3" t="s">
        <v>75</v>
      </c>
      <c r="BB609" s="3" t="s">
        <v>7787</v>
      </c>
      <c r="BC609" s="3" t="s">
        <v>7788</v>
      </c>
      <c r="BD609" s="3" t="s">
        <v>7789</v>
      </c>
    </row>
    <row r="610" spans="1:56" ht="39" customHeight="1" x14ac:dyDescent="0.25">
      <c r="A610" s="7" t="s">
        <v>58</v>
      </c>
      <c r="B610" s="2" t="s">
        <v>7790</v>
      </c>
      <c r="C610" s="2" t="s">
        <v>7791</v>
      </c>
      <c r="D610" s="2" t="s">
        <v>7792</v>
      </c>
      <c r="F610" s="3" t="s">
        <v>58</v>
      </c>
      <c r="G610" s="3" t="s">
        <v>59</v>
      </c>
      <c r="H610" s="3" t="s">
        <v>58</v>
      </c>
      <c r="I610" s="3" t="s">
        <v>58</v>
      </c>
      <c r="J610" s="3" t="s">
        <v>60</v>
      </c>
      <c r="K610" s="2" t="s">
        <v>7793</v>
      </c>
      <c r="L610" s="2" t="s">
        <v>7794</v>
      </c>
      <c r="M610" s="3" t="s">
        <v>1723</v>
      </c>
      <c r="O610" s="3" t="s">
        <v>65</v>
      </c>
      <c r="P610" s="3" t="s">
        <v>304</v>
      </c>
      <c r="R610" s="3" t="s">
        <v>68</v>
      </c>
      <c r="S610" s="4">
        <v>3</v>
      </c>
      <c r="T610" s="4">
        <v>3</v>
      </c>
      <c r="U610" s="5" t="s">
        <v>7418</v>
      </c>
      <c r="V610" s="5" t="s">
        <v>7418</v>
      </c>
      <c r="W610" s="5" t="s">
        <v>7795</v>
      </c>
      <c r="X610" s="5" t="s">
        <v>7795</v>
      </c>
      <c r="Y610" s="4">
        <v>84</v>
      </c>
      <c r="Z610" s="4">
        <v>75</v>
      </c>
      <c r="AA610" s="4">
        <v>75</v>
      </c>
      <c r="AB610" s="4">
        <v>1</v>
      </c>
      <c r="AC610" s="4">
        <v>1</v>
      </c>
      <c r="AD610" s="4">
        <v>3</v>
      </c>
      <c r="AE610" s="4">
        <v>3</v>
      </c>
      <c r="AF610" s="4">
        <v>0</v>
      </c>
      <c r="AG610" s="4">
        <v>0</v>
      </c>
      <c r="AH610" s="4">
        <v>1</v>
      </c>
      <c r="AI610" s="4">
        <v>1</v>
      </c>
      <c r="AJ610" s="4">
        <v>2</v>
      </c>
      <c r="AK610" s="4">
        <v>2</v>
      </c>
      <c r="AL610" s="4">
        <v>0</v>
      </c>
      <c r="AM610" s="4">
        <v>0</v>
      </c>
      <c r="AN610" s="4">
        <v>0</v>
      </c>
      <c r="AO610" s="4">
        <v>0</v>
      </c>
      <c r="AP610" s="3" t="s">
        <v>58</v>
      </c>
      <c r="AQ610" s="3" t="s">
        <v>58</v>
      </c>
      <c r="AS610" s="6" t="str">
        <f>HYPERLINK("https://creighton-primo.hosted.exlibrisgroup.com/primo-explore/search?tab=default_tab&amp;search_scope=EVERYTHING&amp;vid=01CRU&amp;lang=en_US&amp;offset=0&amp;query=any,contains,991003668549702656","Catalog Record")</f>
        <v>Catalog Record</v>
      </c>
      <c r="AT610" s="6" t="str">
        <f>HYPERLINK("http://www.worldcat.org/oclc/47092355","WorldCat Record")</f>
        <v>WorldCat Record</v>
      </c>
      <c r="AU610" s="3" t="s">
        <v>7796</v>
      </c>
      <c r="AV610" s="3" t="s">
        <v>7797</v>
      </c>
      <c r="AW610" s="3" t="s">
        <v>7798</v>
      </c>
      <c r="AX610" s="3" t="s">
        <v>7798</v>
      </c>
      <c r="AY610" s="3" t="s">
        <v>7799</v>
      </c>
      <c r="AZ610" s="3" t="s">
        <v>75</v>
      </c>
      <c r="BB610" s="3" t="s">
        <v>7800</v>
      </c>
      <c r="BC610" s="3" t="s">
        <v>7801</v>
      </c>
      <c r="BD610" s="3" t="s">
        <v>7802</v>
      </c>
    </row>
    <row r="611" spans="1:56" ht="39" customHeight="1" x14ac:dyDescent="0.25">
      <c r="A611" s="7" t="s">
        <v>58</v>
      </c>
      <c r="B611" s="2" t="s">
        <v>7803</v>
      </c>
      <c r="C611" s="2" t="s">
        <v>7804</v>
      </c>
      <c r="D611" s="2" t="s">
        <v>7805</v>
      </c>
      <c r="F611" s="3" t="s">
        <v>58</v>
      </c>
      <c r="G611" s="3" t="s">
        <v>59</v>
      </c>
      <c r="H611" s="3" t="s">
        <v>58</v>
      </c>
      <c r="I611" s="3" t="s">
        <v>58</v>
      </c>
      <c r="J611" s="3" t="s">
        <v>60</v>
      </c>
      <c r="K611" s="2" t="s">
        <v>7725</v>
      </c>
      <c r="L611" s="2" t="s">
        <v>7806</v>
      </c>
      <c r="M611" s="3" t="s">
        <v>1723</v>
      </c>
      <c r="O611" s="3" t="s">
        <v>65</v>
      </c>
      <c r="P611" s="3" t="s">
        <v>186</v>
      </c>
      <c r="R611" s="3" t="s">
        <v>68</v>
      </c>
      <c r="S611" s="4">
        <v>2</v>
      </c>
      <c r="T611" s="4">
        <v>2</v>
      </c>
      <c r="U611" s="5" t="s">
        <v>7807</v>
      </c>
      <c r="V611" s="5" t="s">
        <v>7807</v>
      </c>
      <c r="W611" s="5" t="s">
        <v>7808</v>
      </c>
      <c r="X611" s="5" t="s">
        <v>7808</v>
      </c>
      <c r="Y611" s="4">
        <v>62</v>
      </c>
      <c r="Z611" s="4">
        <v>59</v>
      </c>
      <c r="AA611" s="4">
        <v>63</v>
      </c>
      <c r="AB611" s="4">
        <v>1</v>
      </c>
      <c r="AC611" s="4">
        <v>1</v>
      </c>
      <c r="AD611" s="4">
        <v>5</v>
      </c>
      <c r="AE611" s="4">
        <v>5</v>
      </c>
      <c r="AF611" s="4">
        <v>2</v>
      </c>
      <c r="AG611" s="4">
        <v>2</v>
      </c>
      <c r="AH611" s="4">
        <v>1</v>
      </c>
      <c r="AI611" s="4">
        <v>1</v>
      </c>
      <c r="AJ611" s="4">
        <v>3</v>
      </c>
      <c r="AK611" s="4">
        <v>3</v>
      </c>
      <c r="AL611" s="4">
        <v>0</v>
      </c>
      <c r="AM611" s="4">
        <v>0</v>
      </c>
      <c r="AN611" s="4">
        <v>0</v>
      </c>
      <c r="AO611" s="4">
        <v>0</v>
      </c>
      <c r="AP611" s="3" t="s">
        <v>58</v>
      </c>
      <c r="AQ611" s="3" t="s">
        <v>58</v>
      </c>
      <c r="AS611" s="6" t="str">
        <f>HYPERLINK("https://creighton-primo.hosted.exlibrisgroup.com/primo-explore/search?tab=default_tab&amp;search_scope=EVERYTHING&amp;vid=01CRU&amp;lang=en_US&amp;offset=0&amp;query=any,contains,991003762959702656","Catalog Record")</f>
        <v>Catalog Record</v>
      </c>
      <c r="AT611" s="6" t="str">
        <f>HYPERLINK("http://www.worldcat.org/oclc/45283095","WorldCat Record")</f>
        <v>WorldCat Record</v>
      </c>
      <c r="AU611" s="3" t="s">
        <v>7809</v>
      </c>
      <c r="AV611" s="3" t="s">
        <v>7810</v>
      </c>
      <c r="AW611" s="3" t="s">
        <v>7811</v>
      </c>
      <c r="AX611" s="3" t="s">
        <v>7811</v>
      </c>
      <c r="AY611" s="3" t="s">
        <v>7812</v>
      </c>
      <c r="AZ611" s="3" t="s">
        <v>75</v>
      </c>
      <c r="BB611" s="3" t="s">
        <v>7813</v>
      </c>
      <c r="BC611" s="3" t="s">
        <v>7814</v>
      </c>
      <c r="BD611" s="3" t="s">
        <v>7815</v>
      </c>
    </row>
    <row r="612" spans="1:56" ht="39" customHeight="1" x14ac:dyDescent="0.25">
      <c r="A612" s="7" t="s">
        <v>58</v>
      </c>
      <c r="B612" s="2" t="s">
        <v>7816</v>
      </c>
      <c r="C612" s="2" t="s">
        <v>7817</v>
      </c>
      <c r="D612" s="2" t="s">
        <v>7818</v>
      </c>
      <c r="F612" s="3" t="s">
        <v>58</v>
      </c>
      <c r="G612" s="3" t="s">
        <v>59</v>
      </c>
      <c r="H612" s="3" t="s">
        <v>58</v>
      </c>
      <c r="I612" s="3" t="s">
        <v>58</v>
      </c>
      <c r="J612" s="3" t="s">
        <v>60</v>
      </c>
      <c r="L612" s="2" t="s">
        <v>7819</v>
      </c>
      <c r="M612" s="3" t="s">
        <v>3920</v>
      </c>
      <c r="O612" s="3" t="s">
        <v>65</v>
      </c>
      <c r="P612" s="3" t="s">
        <v>66</v>
      </c>
      <c r="Q612" s="2" t="s">
        <v>7820</v>
      </c>
      <c r="R612" s="3" t="s">
        <v>68</v>
      </c>
      <c r="S612" s="4">
        <v>1</v>
      </c>
      <c r="T612" s="4">
        <v>1</v>
      </c>
      <c r="U612" s="5" t="s">
        <v>606</v>
      </c>
      <c r="V612" s="5" t="s">
        <v>606</v>
      </c>
      <c r="W612" s="5" t="s">
        <v>7821</v>
      </c>
      <c r="X612" s="5" t="s">
        <v>7821</v>
      </c>
      <c r="Y612" s="4">
        <v>143</v>
      </c>
      <c r="Z612" s="4">
        <v>113</v>
      </c>
      <c r="AA612" s="4">
        <v>118</v>
      </c>
      <c r="AB612" s="4">
        <v>1</v>
      </c>
      <c r="AC612" s="4">
        <v>1</v>
      </c>
      <c r="AD612" s="4">
        <v>7</v>
      </c>
      <c r="AE612" s="4">
        <v>7</v>
      </c>
      <c r="AF612" s="4">
        <v>3</v>
      </c>
      <c r="AG612" s="4">
        <v>3</v>
      </c>
      <c r="AH612" s="4">
        <v>2</v>
      </c>
      <c r="AI612" s="4">
        <v>2</v>
      </c>
      <c r="AJ612" s="4">
        <v>3</v>
      </c>
      <c r="AK612" s="4">
        <v>3</v>
      </c>
      <c r="AL612" s="4">
        <v>0</v>
      </c>
      <c r="AM612" s="4">
        <v>0</v>
      </c>
      <c r="AN612" s="4">
        <v>0</v>
      </c>
      <c r="AO612" s="4">
        <v>0</v>
      </c>
      <c r="AP612" s="3" t="s">
        <v>58</v>
      </c>
      <c r="AQ612" s="3" t="s">
        <v>58</v>
      </c>
      <c r="AS612" s="6" t="str">
        <f>HYPERLINK("https://creighton-primo.hosted.exlibrisgroup.com/primo-explore/search?tab=default_tab&amp;search_scope=EVERYTHING&amp;vid=01CRU&amp;lang=en_US&amp;offset=0&amp;query=any,contains,991004739069702656","Catalog Record")</f>
        <v>Catalog Record</v>
      </c>
      <c r="AT612" s="6" t="str">
        <f>HYPERLINK("http://www.worldcat.org/oclc/58478380","WorldCat Record")</f>
        <v>WorldCat Record</v>
      </c>
      <c r="AU612" s="3" t="s">
        <v>7822</v>
      </c>
      <c r="AV612" s="3" t="s">
        <v>7823</v>
      </c>
      <c r="AW612" s="3" t="s">
        <v>7824</v>
      </c>
      <c r="AX612" s="3" t="s">
        <v>7824</v>
      </c>
      <c r="AY612" s="3" t="s">
        <v>7825</v>
      </c>
      <c r="AZ612" s="3" t="s">
        <v>75</v>
      </c>
      <c r="BB612" s="3" t="s">
        <v>7826</v>
      </c>
      <c r="BC612" s="3" t="s">
        <v>7827</v>
      </c>
      <c r="BD612" s="3" t="s">
        <v>7828</v>
      </c>
    </row>
    <row r="613" spans="1:56" ht="39" customHeight="1" x14ac:dyDescent="0.25">
      <c r="A613" s="7" t="s">
        <v>58</v>
      </c>
      <c r="B613" s="2" t="s">
        <v>7829</v>
      </c>
      <c r="C613" s="2" t="s">
        <v>7830</v>
      </c>
      <c r="D613" s="2" t="s">
        <v>7831</v>
      </c>
      <c r="F613" s="3" t="s">
        <v>58</v>
      </c>
      <c r="G613" s="3" t="s">
        <v>59</v>
      </c>
      <c r="H613" s="3" t="s">
        <v>58</v>
      </c>
      <c r="I613" s="3" t="s">
        <v>58</v>
      </c>
      <c r="J613" s="3" t="s">
        <v>60</v>
      </c>
      <c r="K613" s="2" t="s">
        <v>7832</v>
      </c>
      <c r="L613" s="2" t="s">
        <v>7833</v>
      </c>
      <c r="M613" s="3" t="s">
        <v>1289</v>
      </c>
      <c r="O613" s="3" t="s">
        <v>65</v>
      </c>
      <c r="P613" s="3" t="s">
        <v>158</v>
      </c>
      <c r="R613" s="3" t="s">
        <v>68</v>
      </c>
      <c r="S613" s="4">
        <v>2</v>
      </c>
      <c r="T613" s="4">
        <v>2</v>
      </c>
      <c r="U613" s="5" t="s">
        <v>7834</v>
      </c>
      <c r="V613" s="5" t="s">
        <v>7834</v>
      </c>
      <c r="W613" s="5" t="s">
        <v>7835</v>
      </c>
      <c r="X613" s="5" t="s">
        <v>7835</v>
      </c>
      <c r="Y613" s="4">
        <v>916</v>
      </c>
      <c r="Z613" s="4">
        <v>824</v>
      </c>
      <c r="AA613" s="4">
        <v>878</v>
      </c>
      <c r="AB613" s="4">
        <v>7</v>
      </c>
      <c r="AC613" s="4">
        <v>7</v>
      </c>
      <c r="AD613" s="4">
        <v>7</v>
      </c>
      <c r="AE613" s="4">
        <v>7</v>
      </c>
      <c r="AF613" s="4">
        <v>4</v>
      </c>
      <c r="AG613" s="4">
        <v>4</v>
      </c>
      <c r="AH613" s="4">
        <v>1</v>
      </c>
      <c r="AI613" s="4">
        <v>1</v>
      </c>
      <c r="AJ613" s="4">
        <v>1</v>
      </c>
      <c r="AK613" s="4">
        <v>1</v>
      </c>
      <c r="AL613" s="4">
        <v>2</v>
      </c>
      <c r="AM613" s="4">
        <v>2</v>
      </c>
      <c r="AN613" s="4">
        <v>0</v>
      </c>
      <c r="AO613" s="4">
        <v>0</v>
      </c>
      <c r="AP613" s="3" t="s">
        <v>58</v>
      </c>
      <c r="AQ613" s="3" t="s">
        <v>58</v>
      </c>
      <c r="AS613" s="6" t="str">
        <f>HYPERLINK("https://creighton-primo.hosted.exlibrisgroup.com/primo-explore/search?tab=default_tab&amp;search_scope=EVERYTHING&amp;vid=01CRU&amp;lang=en_US&amp;offset=0&amp;query=any,contains,991004119019702656","Catalog Record")</f>
        <v>Catalog Record</v>
      </c>
      <c r="AT613" s="6" t="str">
        <f>HYPERLINK("http://www.worldcat.org/oclc/52458839","WorldCat Record")</f>
        <v>WorldCat Record</v>
      </c>
      <c r="AU613" s="3" t="s">
        <v>7836</v>
      </c>
      <c r="AV613" s="3" t="s">
        <v>7837</v>
      </c>
      <c r="AW613" s="3" t="s">
        <v>7838</v>
      </c>
      <c r="AX613" s="3" t="s">
        <v>7838</v>
      </c>
      <c r="AY613" s="3" t="s">
        <v>7839</v>
      </c>
      <c r="AZ613" s="3" t="s">
        <v>75</v>
      </c>
      <c r="BB613" s="3" t="s">
        <v>7840</v>
      </c>
      <c r="BC613" s="3" t="s">
        <v>7841</v>
      </c>
      <c r="BD613" s="3" t="s">
        <v>7842</v>
      </c>
    </row>
    <row r="614" spans="1:56" ht="39" customHeight="1" x14ac:dyDescent="0.25">
      <c r="A614" s="7" t="s">
        <v>58</v>
      </c>
      <c r="B614" s="2" t="s">
        <v>7843</v>
      </c>
      <c r="C614" s="2" t="s">
        <v>7844</v>
      </c>
      <c r="D614" s="2" t="s">
        <v>7845</v>
      </c>
      <c r="F614" s="3" t="s">
        <v>58</v>
      </c>
      <c r="G614" s="3" t="s">
        <v>59</v>
      </c>
      <c r="H614" s="3" t="s">
        <v>58</v>
      </c>
      <c r="I614" s="3" t="s">
        <v>58</v>
      </c>
      <c r="J614" s="3" t="s">
        <v>60</v>
      </c>
      <c r="K614" s="2" t="s">
        <v>7846</v>
      </c>
      <c r="L614" s="2" t="s">
        <v>7847</v>
      </c>
      <c r="M614" s="3" t="s">
        <v>144</v>
      </c>
      <c r="O614" s="3" t="s">
        <v>65</v>
      </c>
      <c r="P614" s="3" t="s">
        <v>66</v>
      </c>
      <c r="R614" s="3" t="s">
        <v>68</v>
      </c>
      <c r="S614" s="4">
        <v>1</v>
      </c>
      <c r="T614" s="4">
        <v>1</v>
      </c>
      <c r="U614" s="5" t="s">
        <v>7848</v>
      </c>
      <c r="V614" s="5" t="s">
        <v>7848</v>
      </c>
      <c r="W614" s="5" t="s">
        <v>7849</v>
      </c>
      <c r="X614" s="5" t="s">
        <v>7849</v>
      </c>
      <c r="Y614" s="4">
        <v>274</v>
      </c>
      <c r="Z614" s="4">
        <v>212</v>
      </c>
      <c r="AA614" s="4">
        <v>217</v>
      </c>
      <c r="AB614" s="4">
        <v>3</v>
      </c>
      <c r="AC614" s="4">
        <v>3</v>
      </c>
      <c r="AD614" s="4">
        <v>18</v>
      </c>
      <c r="AE614" s="4">
        <v>18</v>
      </c>
      <c r="AF614" s="4">
        <v>3</v>
      </c>
      <c r="AG614" s="4">
        <v>3</v>
      </c>
      <c r="AH614" s="4">
        <v>6</v>
      </c>
      <c r="AI614" s="4">
        <v>6</v>
      </c>
      <c r="AJ614" s="4">
        <v>12</v>
      </c>
      <c r="AK614" s="4">
        <v>12</v>
      </c>
      <c r="AL614" s="4">
        <v>2</v>
      </c>
      <c r="AM614" s="4">
        <v>2</v>
      </c>
      <c r="AN614" s="4">
        <v>0</v>
      </c>
      <c r="AO614" s="4">
        <v>0</v>
      </c>
      <c r="AP614" s="3" t="s">
        <v>58</v>
      </c>
      <c r="AQ614" s="3" t="s">
        <v>58</v>
      </c>
      <c r="AS614" s="6" t="str">
        <f>HYPERLINK("https://creighton-primo.hosted.exlibrisgroup.com/primo-explore/search?tab=default_tab&amp;search_scope=EVERYTHING&amp;vid=01CRU&amp;lang=en_US&amp;offset=0&amp;query=any,contains,991004680969702656","Catalog Record")</f>
        <v>Catalog Record</v>
      </c>
      <c r="AT614" s="6" t="str">
        <f>HYPERLINK("http://www.worldcat.org/oclc/4569769","WorldCat Record")</f>
        <v>WorldCat Record</v>
      </c>
      <c r="AU614" s="3" t="s">
        <v>7850</v>
      </c>
      <c r="AV614" s="3" t="s">
        <v>7851</v>
      </c>
      <c r="AW614" s="3" t="s">
        <v>7852</v>
      </c>
      <c r="AX614" s="3" t="s">
        <v>7852</v>
      </c>
      <c r="AY614" s="3" t="s">
        <v>7853</v>
      </c>
      <c r="AZ614" s="3" t="s">
        <v>75</v>
      </c>
      <c r="BB614" s="3" t="s">
        <v>7854</v>
      </c>
      <c r="BC614" s="3" t="s">
        <v>7855</v>
      </c>
      <c r="BD614" s="3" t="s">
        <v>7856</v>
      </c>
    </row>
    <row r="615" spans="1:56" ht="39" customHeight="1" x14ac:dyDescent="0.25">
      <c r="A615" s="7" t="s">
        <v>58</v>
      </c>
      <c r="B615" s="2" t="s">
        <v>7857</v>
      </c>
      <c r="C615" s="2" t="s">
        <v>7858</v>
      </c>
      <c r="D615" s="2" t="s">
        <v>7859</v>
      </c>
      <c r="F615" s="3" t="s">
        <v>58</v>
      </c>
      <c r="G615" s="3" t="s">
        <v>59</v>
      </c>
      <c r="H615" s="3" t="s">
        <v>58</v>
      </c>
      <c r="I615" s="3" t="s">
        <v>58</v>
      </c>
      <c r="J615" s="3" t="s">
        <v>60</v>
      </c>
      <c r="K615" s="2" t="s">
        <v>7860</v>
      </c>
      <c r="L615" s="2" t="s">
        <v>7861</v>
      </c>
      <c r="M615" s="3" t="s">
        <v>2418</v>
      </c>
      <c r="O615" s="3" t="s">
        <v>65</v>
      </c>
      <c r="P615" s="3" t="s">
        <v>7862</v>
      </c>
      <c r="R615" s="3" t="s">
        <v>68</v>
      </c>
      <c r="S615" s="4">
        <v>4</v>
      </c>
      <c r="T615" s="4">
        <v>4</v>
      </c>
      <c r="U615" s="5" t="s">
        <v>7863</v>
      </c>
      <c r="V615" s="5" t="s">
        <v>7863</v>
      </c>
      <c r="W615" s="5" t="s">
        <v>7849</v>
      </c>
      <c r="X615" s="5" t="s">
        <v>7849</v>
      </c>
      <c r="Y615" s="4">
        <v>462</v>
      </c>
      <c r="Z615" s="4">
        <v>371</v>
      </c>
      <c r="AA615" s="4">
        <v>425</v>
      </c>
      <c r="AB615" s="4">
        <v>4</v>
      </c>
      <c r="AC615" s="4">
        <v>5</v>
      </c>
      <c r="AD615" s="4">
        <v>25</v>
      </c>
      <c r="AE615" s="4">
        <v>30</v>
      </c>
      <c r="AF615" s="4">
        <v>5</v>
      </c>
      <c r="AG615" s="4">
        <v>9</v>
      </c>
      <c r="AH615" s="4">
        <v>7</v>
      </c>
      <c r="AI615" s="4">
        <v>8</v>
      </c>
      <c r="AJ615" s="4">
        <v>15</v>
      </c>
      <c r="AK615" s="4">
        <v>15</v>
      </c>
      <c r="AL615" s="4">
        <v>3</v>
      </c>
      <c r="AM615" s="4">
        <v>4</v>
      </c>
      <c r="AN615" s="4">
        <v>0</v>
      </c>
      <c r="AO615" s="4">
        <v>0</v>
      </c>
      <c r="AP615" s="3" t="s">
        <v>58</v>
      </c>
      <c r="AQ615" s="3" t="s">
        <v>58</v>
      </c>
      <c r="AS615" s="6" t="str">
        <f>HYPERLINK("https://creighton-primo.hosted.exlibrisgroup.com/primo-explore/search?tab=default_tab&amp;search_scope=EVERYTHING&amp;vid=01CRU&amp;lang=en_US&amp;offset=0&amp;query=any,contains,991003024779702656","Catalog Record")</f>
        <v>Catalog Record</v>
      </c>
      <c r="AT615" s="6" t="str">
        <f>HYPERLINK("http://www.worldcat.org/oclc/589057","WorldCat Record")</f>
        <v>WorldCat Record</v>
      </c>
      <c r="AU615" s="3" t="s">
        <v>7864</v>
      </c>
      <c r="AV615" s="3" t="s">
        <v>7865</v>
      </c>
      <c r="AW615" s="3" t="s">
        <v>7866</v>
      </c>
      <c r="AX615" s="3" t="s">
        <v>7866</v>
      </c>
      <c r="AY615" s="3" t="s">
        <v>7867</v>
      </c>
      <c r="AZ615" s="3" t="s">
        <v>75</v>
      </c>
      <c r="BB615" s="3" t="s">
        <v>7868</v>
      </c>
      <c r="BC615" s="3" t="s">
        <v>7869</v>
      </c>
      <c r="BD615" s="3" t="s">
        <v>7870</v>
      </c>
    </row>
    <row r="616" spans="1:56" ht="39" customHeight="1" x14ac:dyDescent="0.25">
      <c r="A616" s="7" t="s">
        <v>58</v>
      </c>
      <c r="B616" s="2" t="s">
        <v>7871</v>
      </c>
      <c r="C616" s="2" t="s">
        <v>7872</v>
      </c>
      <c r="D616" s="2" t="s">
        <v>7873</v>
      </c>
      <c r="F616" s="3" t="s">
        <v>58</v>
      </c>
      <c r="G616" s="3" t="s">
        <v>59</v>
      </c>
      <c r="H616" s="3" t="s">
        <v>58</v>
      </c>
      <c r="I616" s="3" t="s">
        <v>58</v>
      </c>
      <c r="J616" s="3" t="s">
        <v>60</v>
      </c>
      <c r="K616" s="2" t="s">
        <v>7874</v>
      </c>
      <c r="L616" s="2" t="s">
        <v>7875</v>
      </c>
      <c r="M616" s="3" t="s">
        <v>389</v>
      </c>
      <c r="O616" s="3" t="s">
        <v>65</v>
      </c>
      <c r="P616" s="3" t="s">
        <v>967</v>
      </c>
      <c r="Q616" s="2" t="s">
        <v>7876</v>
      </c>
      <c r="R616" s="3" t="s">
        <v>68</v>
      </c>
      <c r="S616" s="4">
        <v>7</v>
      </c>
      <c r="T616" s="4">
        <v>7</v>
      </c>
      <c r="U616" s="5" t="s">
        <v>7877</v>
      </c>
      <c r="V616" s="5" t="s">
        <v>7877</v>
      </c>
      <c r="W616" s="5" t="s">
        <v>7849</v>
      </c>
      <c r="X616" s="5" t="s">
        <v>7849</v>
      </c>
      <c r="Y616" s="4">
        <v>155</v>
      </c>
      <c r="Z616" s="4">
        <v>140</v>
      </c>
      <c r="AA616" s="4">
        <v>145</v>
      </c>
      <c r="AB616" s="4">
        <v>1</v>
      </c>
      <c r="AC616" s="4">
        <v>1</v>
      </c>
      <c r="AD616" s="4">
        <v>17</v>
      </c>
      <c r="AE616" s="4">
        <v>17</v>
      </c>
      <c r="AF616" s="4">
        <v>6</v>
      </c>
      <c r="AG616" s="4">
        <v>6</v>
      </c>
      <c r="AH616" s="4">
        <v>5</v>
      </c>
      <c r="AI616" s="4">
        <v>5</v>
      </c>
      <c r="AJ616" s="4">
        <v>12</v>
      </c>
      <c r="AK616" s="4">
        <v>12</v>
      </c>
      <c r="AL616" s="4">
        <v>0</v>
      </c>
      <c r="AM616" s="4">
        <v>0</v>
      </c>
      <c r="AN616" s="4">
        <v>0</v>
      </c>
      <c r="AO616" s="4">
        <v>0</v>
      </c>
      <c r="AP616" s="3" t="s">
        <v>58</v>
      </c>
      <c r="AQ616" s="3" t="s">
        <v>58</v>
      </c>
      <c r="AS616" s="6" t="str">
        <f>HYPERLINK("https://creighton-primo.hosted.exlibrisgroup.com/primo-explore/search?tab=default_tab&amp;search_scope=EVERYTHING&amp;vid=01CRU&amp;lang=en_US&amp;offset=0&amp;query=any,contains,991002805709702656","Catalog Record")</f>
        <v>Catalog Record</v>
      </c>
      <c r="AT616" s="6" t="str">
        <f>HYPERLINK("http://www.worldcat.org/oclc/449434","WorldCat Record")</f>
        <v>WorldCat Record</v>
      </c>
      <c r="AU616" s="3" t="s">
        <v>7878</v>
      </c>
      <c r="AV616" s="3" t="s">
        <v>7879</v>
      </c>
      <c r="AW616" s="3" t="s">
        <v>7880</v>
      </c>
      <c r="AX616" s="3" t="s">
        <v>7880</v>
      </c>
      <c r="AY616" s="3" t="s">
        <v>7881</v>
      </c>
      <c r="AZ616" s="3" t="s">
        <v>75</v>
      </c>
      <c r="BC616" s="3" t="s">
        <v>7882</v>
      </c>
      <c r="BD616" s="3" t="s">
        <v>7883</v>
      </c>
    </row>
    <row r="617" spans="1:56" ht="39" customHeight="1" x14ac:dyDescent="0.25">
      <c r="A617" s="7" t="s">
        <v>58</v>
      </c>
      <c r="B617" s="2" t="s">
        <v>7884</v>
      </c>
      <c r="C617" s="2" t="s">
        <v>7885</v>
      </c>
      <c r="D617" s="2" t="s">
        <v>7886</v>
      </c>
      <c r="F617" s="3" t="s">
        <v>58</v>
      </c>
      <c r="G617" s="3" t="s">
        <v>59</v>
      </c>
      <c r="H617" s="3" t="s">
        <v>58</v>
      </c>
      <c r="I617" s="3" t="s">
        <v>58</v>
      </c>
      <c r="J617" s="3" t="s">
        <v>60</v>
      </c>
      <c r="K617" s="2" t="s">
        <v>7887</v>
      </c>
      <c r="L617" s="2" t="s">
        <v>7888</v>
      </c>
      <c r="M617" s="3" t="s">
        <v>215</v>
      </c>
      <c r="N617" s="2" t="s">
        <v>476</v>
      </c>
      <c r="O617" s="3" t="s">
        <v>65</v>
      </c>
      <c r="P617" s="3" t="s">
        <v>186</v>
      </c>
      <c r="R617" s="3" t="s">
        <v>68</v>
      </c>
      <c r="S617" s="4">
        <v>1</v>
      </c>
      <c r="T617" s="4">
        <v>1</v>
      </c>
      <c r="U617" s="5" t="s">
        <v>1084</v>
      </c>
      <c r="V617" s="5" t="s">
        <v>1084</v>
      </c>
      <c r="W617" s="5" t="s">
        <v>1084</v>
      </c>
      <c r="X617" s="5" t="s">
        <v>1084</v>
      </c>
      <c r="Y617" s="4">
        <v>112</v>
      </c>
      <c r="Z617" s="4">
        <v>92</v>
      </c>
      <c r="AA617" s="4">
        <v>98</v>
      </c>
      <c r="AB617" s="4">
        <v>1</v>
      </c>
      <c r="AC617" s="4">
        <v>1</v>
      </c>
      <c r="AD617" s="4">
        <v>7</v>
      </c>
      <c r="AE617" s="4">
        <v>8</v>
      </c>
      <c r="AF617" s="4">
        <v>3</v>
      </c>
      <c r="AG617" s="4">
        <v>4</v>
      </c>
      <c r="AH617" s="4">
        <v>0</v>
      </c>
      <c r="AI617" s="4">
        <v>0</v>
      </c>
      <c r="AJ617" s="4">
        <v>7</v>
      </c>
      <c r="AK617" s="4">
        <v>8</v>
      </c>
      <c r="AL617" s="4">
        <v>0</v>
      </c>
      <c r="AM617" s="4">
        <v>0</v>
      </c>
      <c r="AN617" s="4">
        <v>0</v>
      </c>
      <c r="AO617" s="4">
        <v>0</v>
      </c>
      <c r="AP617" s="3" t="s">
        <v>58</v>
      </c>
      <c r="AQ617" s="3" t="s">
        <v>58</v>
      </c>
      <c r="AS617" s="6" t="str">
        <f>HYPERLINK("https://creighton-primo.hosted.exlibrisgroup.com/primo-explore/search?tab=default_tab&amp;search_scope=EVERYTHING&amp;vid=01CRU&amp;lang=en_US&amp;offset=0&amp;query=any,contains,991004528539702656","Catalog Record")</f>
        <v>Catalog Record</v>
      </c>
      <c r="AT617" s="6" t="str">
        <f>HYPERLINK("http://www.worldcat.org/oclc/15317948","WorldCat Record")</f>
        <v>WorldCat Record</v>
      </c>
      <c r="AU617" s="3" t="s">
        <v>7889</v>
      </c>
      <c r="AV617" s="3" t="s">
        <v>7890</v>
      </c>
      <c r="AW617" s="3" t="s">
        <v>7891</v>
      </c>
      <c r="AX617" s="3" t="s">
        <v>7891</v>
      </c>
      <c r="AY617" s="3" t="s">
        <v>7892</v>
      </c>
      <c r="AZ617" s="3" t="s">
        <v>75</v>
      </c>
      <c r="BB617" s="3" t="s">
        <v>7893</v>
      </c>
      <c r="BC617" s="3" t="s">
        <v>7894</v>
      </c>
      <c r="BD617" s="3" t="s">
        <v>7895</v>
      </c>
    </row>
    <row r="618" spans="1:56" ht="39" customHeight="1" x14ac:dyDescent="0.25">
      <c r="A618" s="7" t="s">
        <v>58</v>
      </c>
      <c r="B618" s="2" t="s">
        <v>7896</v>
      </c>
      <c r="C618" s="2" t="s">
        <v>7897</v>
      </c>
      <c r="D618" s="2" t="s">
        <v>7898</v>
      </c>
      <c r="F618" s="3" t="s">
        <v>58</v>
      </c>
      <c r="G618" s="3" t="s">
        <v>59</v>
      </c>
      <c r="H618" s="3" t="s">
        <v>58</v>
      </c>
      <c r="I618" s="3" t="s">
        <v>58</v>
      </c>
      <c r="J618" s="3" t="s">
        <v>60</v>
      </c>
      <c r="K618" s="2" t="s">
        <v>7899</v>
      </c>
      <c r="L618" s="2" t="s">
        <v>7900</v>
      </c>
      <c r="M618" s="3" t="s">
        <v>759</v>
      </c>
      <c r="O618" s="3" t="s">
        <v>65</v>
      </c>
      <c r="P618" s="3" t="s">
        <v>7901</v>
      </c>
      <c r="R618" s="3" t="s">
        <v>68</v>
      </c>
      <c r="S618" s="4">
        <v>7</v>
      </c>
      <c r="T618" s="4">
        <v>7</v>
      </c>
      <c r="U618" s="5" t="s">
        <v>7902</v>
      </c>
      <c r="V618" s="5" t="s">
        <v>7902</v>
      </c>
      <c r="W618" s="5" t="s">
        <v>7903</v>
      </c>
      <c r="X618" s="5" t="s">
        <v>7903</v>
      </c>
      <c r="Y618" s="4">
        <v>33</v>
      </c>
      <c r="Z618" s="4">
        <v>25</v>
      </c>
      <c r="AA618" s="4">
        <v>25</v>
      </c>
      <c r="AB618" s="4">
        <v>2</v>
      </c>
      <c r="AC618" s="4">
        <v>2</v>
      </c>
      <c r="AD618" s="4">
        <v>6</v>
      </c>
      <c r="AE618" s="4">
        <v>6</v>
      </c>
      <c r="AF618" s="4">
        <v>2</v>
      </c>
      <c r="AG618" s="4">
        <v>2</v>
      </c>
      <c r="AH618" s="4">
        <v>2</v>
      </c>
      <c r="AI618" s="4">
        <v>2</v>
      </c>
      <c r="AJ618" s="4">
        <v>5</v>
      </c>
      <c r="AK618" s="4">
        <v>5</v>
      </c>
      <c r="AL618" s="4">
        <v>1</v>
      </c>
      <c r="AM618" s="4">
        <v>1</v>
      </c>
      <c r="AN618" s="4">
        <v>0</v>
      </c>
      <c r="AO618" s="4">
        <v>0</v>
      </c>
      <c r="AP618" s="3" t="s">
        <v>58</v>
      </c>
      <c r="AQ618" s="3" t="s">
        <v>58</v>
      </c>
      <c r="AS618" s="6" t="str">
        <f>HYPERLINK("https://creighton-primo.hosted.exlibrisgroup.com/primo-explore/search?tab=default_tab&amp;search_scope=EVERYTHING&amp;vid=01CRU&amp;lang=en_US&amp;offset=0&amp;query=any,contains,991001879949702656","Catalog Record")</f>
        <v>Catalog Record</v>
      </c>
      <c r="AT618" s="6" t="str">
        <f>HYPERLINK("http://www.worldcat.org/oclc/23722601","WorldCat Record")</f>
        <v>WorldCat Record</v>
      </c>
      <c r="AU618" s="3" t="s">
        <v>7904</v>
      </c>
      <c r="AV618" s="3" t="s">
        <v>7905</v>
      </c>
      <c r="AW618" s="3" t="s">
        <v>7906</v>
      </c>
      <c r="AX618" s="3" t="s">
        <v>7906</v>
      </c>
      <c r="AY618" s="3" t="s">
        <v>7907</v>
      </c>
      <c r="AZ618" s="3" t="s">
        <v>75</v>
      </c>
      <c r="BB618" s="3" t="s">
        <v>7908</v>
      </c>
      <c r="BC618" s="3" t="s">
        <v>7909</v>
      </c>
      <c r="BD618" s="3" t="s">
        <v>7910</v>
      </c>
    </row>
    <row r="619" spans="1:56" ht="39" customHeight="1" x14ac:dyDescent="0.25">
      <c r="A619" s="7" t="s">
        <v>58</v>
      </c>
      <c r="B619" s="2" t="s">
        <v>7911</v>
      </c>
      <c r="C619" s="2" t="s">
        <v>7912</v>
      </c>
      <c r="D619" s="2" t="s">
        <v>7913</v>
      </c>
      <c r="F619" s="3" t="s">
        <v>58</v>
      </c>
      <c r="G619" s="3" t="s">
        <v>59</v>
      </c>
      <c r="H619" s="3" t="s">
        <v>58</v>
      </c>
      <c r="I619" s="3" t="s">
        <v>58</v>
      </c>
      <c r="J619" s="3" t="s">
        <v>60</v>
      </c>
      <c r="K619" s="2" t="s">
        <v>7914</v>
      </c>
      <c r="L619" s="2" t="s">
        <v>7915</v>
      </c>
      <c r="M619" s="3" t="s">
        <v>1289</v>
      </c>
      <c r="N619" s="2" t="s">
        <v>7006</v>
      </c>
      <c r="O619" s="3" t="s">
        <v>65</v>
      </c>
      <c r="P619" s="3" t="s">
        <v>967</v>
      </c>
      <c r="R619" s="3" t="s">
        <v>68</v>
      </c>
      <c r="S619" s="4">
        <v>3</v>
      </c>
      <c r="T619" s="4">
        <v>3</v>
      </c>
      <c r="U619" s="5" t="s">
        <v>5546</v>
      </c>
      <c r="V619" s="5" t="s">
        <v>5546</v>
      </c>
      <c r="W619" s="5" t="s">
        <v>7916</v>
      </c>
      <c r="X619" s="5" t="s">
        <v>7916</v>
      </c>
      <c r="Y619" s="4">
        <v>86</v>
      </c>
      <c r="Z619" s="4">
        <v>78</v>
      </c>
      <c r="AA619" s="4">
        <v>92</v>
      </c>
      <c r="AB619" s="4">
        <v>1</v>
      </c>
      <c r="AC619" s="4">
        <v>2</v>
      </c>
      <c r="AD619" s="4">
        <v>1</v>
      </c>
      <c r="AE619" s="4">
        <v>3</v>
      </c>
      <c r="AF619" s="4">
        <v>1</v>
      </c>
      <c r="AG619" s="4">
        <v>2</v>
      </c>
      <c r="AH619" s="4">
        <v>0</v>
      </c>
      <c r="AI619" s="4">
        <v>1</v>
      </c>
      <c r="AJ619" s="4">
        <v>0</v>
      </c>
      <c r="AK619" s="4">
        <v>0</v>
      </c>
      <c r="AL619" s="4">
        <v>0</v>
      </c>
      <c r="AM619" s="4">
        <v>1</v>
      </c>
      <c r="AN619" s="4">
        <v>0</v>
      </c>
      <c r="AO619" s="4">
        <v>0</v>
      </c>
      <c r="AP619" s="3" t="s">
        <v>58</v>
      </c>
      <c r="AQ619" s="3" t="s">
        <v>58</v>
      </c>
      <c r="AS619" s="6" t="str">
        <f>HYPERLINK("https://creighton-primo.hosted.exlibrisgroup.com/primo-explore/search?tab=default_tab&amp;search_scope=EVERYTHING&amp;vid=01CRU&amp;lang=en_US&amp;offset=0&amp;query=any,contains,991004741209702656","Catalog Record")</f>
        <v>Catalog Record</v>
      </c>
      <c r="AT619" s="6" t="str">
        <f>HYPERLINK("http://www.worldcat.org/oclc/52799744","WorldCat Record")</f>
        <v>WorldCat Record</v>
      </c>
      <c r="AU619" s="3" t="s">
        <v>7917</v>
      </c>
      <c r="AV619" s="3" t="s">
        <v>7918</v>
      </c>
      <c r="AW619" s="3" t="s">
        <v>7919</v>
      </c>
      <c r="AX619" s="3" t="s">
        <v>7919</v>
      </c>
      <c r="AY619" s="3" t="s">
        <v>7920</v>
      </c>
      <c r="AZ619" s="3" t="s">
        <v>75</v>
      </c>
      <c r="BB619" s="3" t="s">
        <v>7921</v>
      </c>
      <c r="BC619" s="3" t="s">
        <v>7922</v>
      </c>
      <c r="BD619" s="3" t="s">
        <v>7923</v>
      </c>
    </row>
    <row r="620" spans="1:56" ht="39" customHeight="1" x14ac:dyDescent="0.25">
      <c r="A620" s="7" t="s">
        <v>58</v>
      </c>
      <c r="B620" s="2" t="s">
        <v>7924</v>
      </c>
      <c r="C620" s="2" t="s">
        <v>7925</v>
      </c>
      <c r="D620" s="2" t="s">
        <v>7926</v>
      </c>
      <c r="F620" s="3" t="s">
        <v>58</v>
      </c>
      <c r="G620" s="3" t="s">
        <v>59</v>
      </c>
      <c r="H620" s="3" t="s">
        <v>58</v>
      </c>
      <c r="I620" s="3" t="s">
        <v>58</v>
      </c>
      <c r="J620" s="3" t="s">
        <v>60</v>
      </c>
      <c r="K620" s="2" t="s">
        <v>7927</v>
      </c>
      <c r="L620" s="2" t="s">
        <v>7928</v>
      </c>
      <c r="M620" s="3" t="s">
        <v>185</v>
      </c>
      <c r="O620" s="3" t="s">
        <v>65</v>
      </c>
      <c r="P620" s="3" t="s">
        <v>158</v>
      </c>
      <c r="R620" s="3" t="s">
        <v>68</v>
      </c>
      <c r="S620" s="4">
        <v>4</v>
      </c>
      <c r="T620" s="4">
        <v>4</v>
      </c>
      <c r="U620" s="5" t="s">
        <v>5279</v>
      </c>
      <c r="V620" s="5" t="s">
        <v>5279</v>
      </c>
      <c r="W620" s="5" t="s">
        <v>5279</v>
      </c>
      <c r="X620" s="5" t="s">
        <v>5279</v>
      </c>
      <c r="Y620" s="4">
        <v>168</v>
      </c>
      <c r="Z620" s="4">
        <v>142</v>
      </c>
      <c r="AA620" s="4">
        <v>269</v>
      </c>
      <c r="AB620" s="4">
        <v>2</v>
      </c>
      <c r="AC620" s="4">
        <v>3</v>
      </c>
      <c r="AD620" s="4">
        <v>6</v>
      </c>
      <c r="AE620" s="4">
        <v>12</v>
      </c>
      <c r="AF620" s="4">
        <v>1</v>
      </c>
      <c r="AG620" s="4">
        <v>5</v>
      </c>
      <c r="AH620" s="4">
        <v>2</v>
      </c>
      <c r="AI620" s="4">
        <v>3</v>
      </c>
      <c r="AJ620" s="4">
        <v>2</v>
      </c>
      <c r="AK620" s="4">
        <v>3</v>
      </c>
      <c r="AL620" s="4">
        <v>1</v>
      </c>
      <c r="AM620" s="4">
        <v>2</v>
      </c>
      <c r="AN620" s="4">
        <v>0</v>
      </c>
      <c r="AO620" s="4">
        <v>0</v>
      </c>
      <c r="AP620" s="3" t="s">
        <v>58</v>
      </c>
      <c r="AQ620" s="3" t="s">
        <v>58</v>
      </c>
      <c r="AS620" s="6" t="str">
        <f>HYPERLINK("https://creighton-primo.hosted.exlibrisgroup.com/primo-explore/search?tab=default_tab&amp;search_scope=EVERYTHING&amp;vid=01CRU&amp;lang=en_US&amp;offset=0&amp;query=any,contains,991004780679702656","Catalog Record")</f>
        <v>Catalog Record</v>
      </c>
      <c r="AT620" s="6" t="str">
        <f>HYPERLINK("http://www.worldcat.org/oclc/48649263","WorldCat Record")</f>
        <v>WorldCat Record</v>
      </c>
      <c r="AU620" s="3" t="s">
        <v>7929</v>
      </c>
      <c r="AV620" s="3" t="s">
        <v>7930</v>
      </c>
      <c r="AW620" s="3" t="s">
        <v>7931</v>
      </c>
      <c r="AX620" s="3" t="s">
        <v>7931</v>
      </c>
      <c r="AY620" s="3" t="s">
        <v>7932</v>
      </c>
      <c r="AZ620" s="3" t="s">
        <v>75</v>
      </c>
      <c r="BB620" s="3" t="s">
        <v>7933</v>
      </c>
      <c r="BC620" s="3" t="s">
        <v>7934</v>
      </c>
      <c r="BD620" s="3" t="s">
        <v>7935</v>
      </c>
    </row>
    <row r="621" spans="1:56" ht="39" customHeight="1" x14ac:dyDescent="0.25">
      <c r="A621" s="7" t="s">
        <v>58</v>
      </c>
      <c r="B621" s="2" t="s">
        <v>7936</v>
      </c>
      <c r="C621" s="2" t="s">
        <v>7937</v>
      </c>
      <c r="D621" s="2" t="s">
        <v>7938</v>
      </c>
      <c r="F621" s="3" t="s">
        <v>58</v>
      </c>
      <c r="G621" s="3" t="s">
        <v>59</v>
      </c>
      <c r="H621" s="3" t="s">
        <v>58</v>
      </c>
      <c r="I621" s="3" t="s">
        <v>58</v>
      </c>
      <c r="J621" s="3" t="s">
        <v>60</v>
      </c>
      <c r="K621" s="2" t="s">
        <v>7939</v>
      </c>
      <c r="L621" s="2" t="s">
        <v>7940</v>
      </c>
      <c r="M621" s="3" t="s">
        <v>318</v>
      </c>
      <c r="O621" s="3" t="s">
        <v>65</v>
      </c>
      <c r="P621" s="3" t="s">
        <v>186</v>
      </c>
      <c r="Q621" s="2" t="s">
        <v>7941</v>
      </c>
      <c r="R621" s="3" t="s">
        <v>68</v>
      </c>
      <c r="S621" s="4">
        <v>1</v>
      </c>
      <c r="T621" s="4">
        <v>1</v>
      </c>
      <c r="U621" s="5" t="s">
        <v>7942</v>
      </c>
      <c r="V621" s="5" t="s">
        <v>7942</v>
      </c>
      <c r="W621" s="5" t="s">
        <v>5253</v>
      </c>
      <c r="X621" s="5" t="s">
        <v>5253</v>
      </c>
      <c r="Y621" s="4">
        <v>503</v>
      </c>
      <c r="Z621" s="4">
        <v>438</v>
      </c>
      <c r="AA621" s="4">
        <v>722</v>
      </c>
      <c r="AB621" s="4">
        <v>5</v>
      </c>
      <c r="AC621" s="4">
        <v>8</v>
      </c>
      <c r="AD621" s="4">
        <v>35</v>
      </c>
      <c r="AE621" s="4">
        <v>44</v>
      </c>
      <c r="AF621" s="4">
        <v>13</v>
      </c>
      <c r="AG621" s="4">
        <v>16</v>
      </c>
      <c r="AH621" s="4">
        <v>9</v>
      </c>
      <c r="AI621" s="4">
        <v>11</v>
      </c>
      <c r="AJ621" s="4">
        <v>21</v>
      </c>
      <c r="AK621" s="4">
        <v>24</v>
      </c>
      <c r="AL621" s="4">
        <v>3</v>
      </c>
      <c r="AM621" s="4">
        <v>6</v>
      </c>
      <c r="AN621" s="4">
        <v>0</v>
      </c>
      <c r="AO621" s="4">
        <v>0</v>
      </c>
      <c r="AP621" s="3" t="s">
        <v>58</v>
      </c>
      <c r="AQ621" s="3" t="s">
        <v>132</v>
      </c>
      <c r="AR621" s="6" t="str">
        <f>HYPERLINK("http://catalog.hathitrust.org/Record/003997135","HathiTrust Record")</f>
        <v>HathiTrust Record</v>
      </c>
      <c r="AS621" s="6" t="str">
        <f>HYPERLINK("https://creighton-primo.hosted.exlibrisgroup.com/primo-explore/search?tab=default_tab&amp;search_scope=EVERYTHING&amp;vid=01CRU&amp;lang=en_US&amp;offset=0&amp;query=any,contains,991002801259702656","Catalog Record")</f>
        <v>Catalog Record</v>
      </c>
      <c r="AT621" s="6" t="str">
        <f>HYPERLINK("http://www.worldcat.org/oclc/36798986","WorldCat Record")</f>
        <v>WorldCat Record</v>
      </c>
      <c r="AU621" s="3" t="s">
        <v>7943</v>
      </c>
      <c r="AV621" s="3" t="s">
        <v>7944</v>
      </c>
      <c r="AW621" s="3" t="s">
        <v>7945</v>
      </c>
      <c r="AX621" s="3" t="s">
        <v>7945</v>
      </c>
      <c r="AY621" s="3" t="s">
        <v>7946</v>
      </c>
      <c r="AZ621" s="3" t="s">
        <v>75</v>
      </c>
      <c r="BB621" s="3" t="s">
        <v>7947</v>
      </c>
      <c r="BC621" s="3" t="s">
        <v>7948</v>
      </c>
      <c r="BD621" s="3" t="s">
        <v>7949</v>
      </c>
    </row>
    <row r="622" spans="1:56" ht="39" customHeight="1" x14ac:dyDescent="0.25">
      <c r="A622" s="7" t="s">
        <v>58</v>
      </c>
      <c r="B622" s="2" t="s">
        <v>7950</v>
      </c>
      <c r="C622" s="2" t="s">
        <v>7951</v>
      </c>
      <c r="D622" s="2" t="s">
        <v>7952</v>
      </c>
      <c r="F622" s="3" t="s">
        <v>58</v>
      </c>
      <c r="G622" s="3" t="s">
        <v>59</v>
      </c>
      <c r="H622" s="3" t="s">
        <v>58</v>
      </c>
      <c r="I622" s="3" t="s">
        <v>58</v>
      </c>
      <c r="J622" s="3" t="s">
        <v>60</v>
      </c>
      <c r="L622" s="2" t="s">
        <v>7953</v>
      </c>
      <c r="M622" s="3" t="s">
        <v>966</v>
      </c>
      <c r="N622" s="2" t="s">
        <v>476</v>
      </c>
      <c r="O622" s="3" t="s">
        <v>65</v>
      </c>
      <c r="P622" s="3" t="s">
        <v>1724</v>
      </c>
      <c r="R622" s="3" t="s">
        <v>68</v>
      </c>
      <c r="S622" s="4">
        <v>5</v>
      </c>
      <c r="T622" s="4">
        <v>5</v>
      </c>
      <c r="U622" s="5" t="s">
        <v>7954</v>
      </c>
      <c r="V622" s="5" t="s">
        <v>7954</v>
      </c>
      <c r="W622" s="5" t="s">
        <v>7955</v>
      </c>
      <c r="X622" s="5" t="s">
        <v>7955</v>
      </c>
      <c r="Y622" s="4">
        <v>236</v>
      </c>
      <c r="Z622" s="4">
        <v>196</v>
      </c>
      <c r="AA622" s="4">
        <v>201</v>
      </c>
      <c r="AB622" s="4">
        <v>1</v>
      </c>
      <c r="AC622" s="4">
        <v>1</v>
      </c>
      <c r="AD622" s="4">
        <v>16</v>
      </c>
      <c r="AE622" s="4">
        <v>16</v>
      </c>
      <c r="AF622" s="4">
        <v>8</v>
      </c>
      <c r="AG622" s="4">
        <v>8</v>
      </c>
      <c r="AH622" s="4">
        <v>3</v>
      </c>
      <c r="AI622" s="4">
        <v>3</v>
      </c>
      <c r="AJ622" s="4">
        <v>10</v>
      </c>
      <c r="AK622" s="4">
        <v>10</v>
      </c>
      <c r="AL622" s="4">
        <v>0</v>
      </c>
      <c r="AM622" s="4">
        <v>0</v>
      </c>
      <c r="AN622" s="4">
        <v>0</v>
      </c>
      <c r="AO622" s="4">
        <v>0</v>
      </c>
      <c r="AP622" s="3" t="s">
        <v>58</v>
      </c>
      <c r="AQ622" s="3" t="s">
        <v>58</v>
      </c>
      <c r="AS622" s="6" t="str">
        <f>HYPERLINK("https://creighton-primo.hosted.exlibrisgroup.com/primo-explore/search?tab=default_tab&amp;search_scope=EVERYTHING&amp;vid=01CRU&amp;lang=en_US&amp;offset=0&amp;query=any,contains,991002178019702656","Catalog Record")</f>
        <v>Catalog Record</v>
      </c>
      <c r="AT622" s="6" t="str">
        <f>HYPERLINK("http://www.worldcat.org/oclc/28027435","WorldCat Record")</f>
        <v>WorldCat Record</v>
      </c>
      <c r="AU622" s="3" t="s">
        <v>7956</v>
      </c>
      <c r="AV622" s="3" t="s">
        <v>7957</v>
      </c>
      <c r="AW622" s="3" t="s">
        <v>7958</v>
      </c>
      <c r="AX622" s="3" t="s">
        <v>7958</v>
      </c>
      <c r="AY622" s="3" t="s">
        <v>7959</v>
      </c>
      <c r="AZ622" s="3" t="s">
        <v>75</v>
      </c>
      <c r="BB622" s="3" t="s">
        <v>7960</v>
      </c>
      <c r="BC622" s="3" t="s">
        <v>7961</v>
      </c>
      <c r="BD622" s="3" t="s">
        <v>7962</v>
      </c>
    </row>
    <row r="623" spans="1:56" ht="39" customHeight="1" x14ac:dyDescent="0.25">
      <c r="A623" s="7" t="s">
        <v>58</v>
      </c>
      <c r="B623" s="2" t="s">
        <v>7963</v>
      </c>
      <c r="C623" s="2" t="s">
        <v>7964</v>
      </c>
      <c r="D623" s="2" t="s">
        <v>7965</v>
      </c>
      <c r="F623" s="3" t="s">
        <v>58</v>
      </c>
      <c r="G623" s="3" t="s">
        <v>59</v>
      </c>
      <c r="H623" s="3" t="s">
        <v>58</v>
      </c>
      <c r="I623" s="3" t="s">
        <v>58</v>
      </c>
      <c r="J623" s="3" t="s">
        <v>60</v>
      </c>
      <c r="L623" s="2" t="s">
        <v>7966</v>
      </c>
      <c r="M623" s="3" t="s">
        <v>709</v>
      </c>
      <c r="N623" s="2" t="s">
        <v>476</v>
      </c>
      <c r="O623" s="3" t="s">
        <v>65</v>
      </c>
      <c r="P623" s="3" t="s">
        <v>1724</v>
      </c>
      <c r="R623" s="3" t="s">
        <v>68</v>
      </c>
      <c r="S623" s="4">
        <v>2</v>
      </c>
      <c r="T623" s="4">
        <v>2</v>
      </c>
      <c r="U623" s="5" t="s">
        <v>7967</v>
      </c>
      <c r="V623" s="5" t="s">
        <v>7967</v>
      </c>
      <c r="W623" s="5" t="s">
        <v>7968</v>
      </c>
      <c r="X623" s="5" t="s">
        <v>7968</v>
      </c>
      <c r="Y623" s="4">
        <v>217</v>
      </c>
      <c r="Z623" s="4">
        <v>191</v>
      </c>
      <c r="AA623" s="4">
        <v>191</v>
      </c>
      <c r="AB623" s="4">
        <v>1</v>
      </c>
      <c r="AC623" s="4">
        <v>1</v>
      </c>
      <c r="AD623" s="4">
        <v>10</v>
      </c>
      <c r="AE623" s="4">
        <v>10</v>
      </c>
      <c r="AF623" s="4">
        <v>4</v>
      </c>
      <c r="AG623" s="4">
        <v>4</v>
      </c>
      <c r="AH623" s="4">
        <v>3</v>
      </c>
      <c r="AI623" s="4">
        <v>3</v>
      </c>
      <c r="AJ623" s="4">
        <v>5</v>
      </c>
      <c r="AK623" s="4">
        <v>5</v>
      </c>
      <c r="AL623" s="4">
        <v>0</v>
      </c>
      <c r="AM623" s="4">
        <v>0</v>
      </c>
      <c r="AN623" s="4">
        <v>0</v>
      </c>
      <c r="AO623" s="4">
        <v>0</v>
      </c>
      <c r="AP623" s="3" t="s">
        <v>58</v>
      </c>
      <c r="AQ623" s="3" t="s">
        <v>58</v>
      </c>
      <c r="AS623" s="6" t="str">
        <f>HYPERLINK("https://creighton-primo.hosted.exlibrisgroup.com/primo-explore/search?tab=default_tab&amp;search_scope=EVERYTHING&amp;vid=01CRU&amp;lang=en_US&amp;offset=0&amp;query=any,contains,991001641449702656","Catalog Record")</f>
        <v>Catalog Record</v>
      </c>
      <c r="AT623" s="6" t="str">
        <f>HYPERLINK("http://www.worldcat.org/oclc/21030513","WorldCat Record")</f>
        <v>WorldCat Record</v>
      </c>
      <c r="AU623" s="3" t="s">
        <v>7969</v>
      </c>
      <c r="AV623" s="3" t="s">
        <v>7970</v>
      </c>
      <c r="AW623" s="3" t="s">
        <v>7971</v>
      </c>
      <c r="AX623" s="3" t="s">
        <v>7971</v>
      </c>
      <c r="AY623" s="3" t="s">
        <v>7972</v>
      </c>
      <c r="AZ623" s="3" t="s">
        <v>75</v>
      </c>
      <c r="BB623" s="3" t="s">
        <v>7973</v>
      </c>
      <c r="BC623" s="3" t="s">
        <v>7974</v>
      </c>
      <c r="BD623" s="3" t="s">
        <v>7975</v>
      </c>
    </row>
    <row r="624" spans="1:56" ht="39" customHeight="1" x14ac:dyDescent="0.25">
      <c r="A624" s="7" t="s">
        <v>58</v>
      </c>
      <c r="B624" s="2" t="s">
        <v>7976</v>
      </c>
      <c r="C624" s="2" t="s">
        <v>7977</v>
      </c>
      <c r="D624" s="2" t="s">
        <v>7978</v>
      </c>
      <c r="F624" s="3" t="s">
        <v>58</v>
      </c>
      <c r="G624" s="3" t="s">
        <v>59</v>
      </c>
      <c r="H624" s="3" t="s">
        <v>58</v>
      </c>
      <c r="I624" s="3" t="s">
        <v>58</v>
      </c>
      <c r="J624" s="3" t="s">
        <v>60</v>
      </c>
      <c r="L624" s="2" t="s">
        <v>7979</v>
      </c>
      <c r="M624" s="3" t="s">
        <v>185</v>
      </c>
      <c r="O624" s="3" t="s">
        <v>65</v>
      </c>
      <c r="P624" s="3" t="s">
        <v>66</v>
      </c>
      <c r="Q624" s="2" t="s">
        <v>7980</v>
      </c>
      <c r="R624" s="3" t="s">
        <v>68</v>
      </c>
      <c r="S624" s="4">
        <v>1</v>
      </c>
      <c r="T624" s="4">
        <v>1</v>
      </c>
      <c r="U624" s="5" t="s">
        <v>7981</v>
      </c>
      <c r="V624" s="5" t="s">
        <v>7981</v>
      </c>
      <c r="W624" s="5" t="s">
        <v>7982</v>
      </c>
      <c r="X624" s="5" t="s">
        <v>7982</v>
      </c>
      <c r="Y624" s="4">
        <v>254</v>
      </c>
      <c r="Z624" s="4">
        <v>193</v>
      </c>
      <c r="AA624" s="4">
        <v>199</v>
      </c>
      <c r="AB624" s="4">
        <v>2</v>
      </c>
      <c r="AC624" s="4">
        <v>2</v>
      </c>
      <c r="AD624" s="4">
        <v>16</v>
      </c>
      <c r="AE624" s="4">
        <v>16</v>
      </c>
      <c r="AF624" s="4">
        <v>8</v>
      </c>
      <c r="AG624" s="4">
        <v>8</v>
      </c>
      <c r="AH624" s="4">
        <v>2</v>
      </c>
      <c r="AI624" s="4">
        <v>2</v>
      </c>
      <c r="AJ624" s="4">
        <v>10</v>
      </c>
      <c r="AK624" s="4">
        <v>10</v>
      </c>
      <c r="AL624" s="4">
        <v>1</v>
      </c>
      <c r="AM624" s="4">
        <v>1</v>
      </c>
      <c r="AN624" s="4">
        <v>0</v>
      </c>
      <c r="AO624" s="4">
        <v>0</v>
      </c>
      <c r="AP624" s="3" t="s">
        <v>58</v>
      </c>
      <c r="AQ624" s="3" t="s">
        <v>58</v>
      </c>
      <c r="AS624" s="6" t="str">
        <f>HYPERLINK("https://creighton-primo.hosted.exlibrisgroup.com/primo-explore/search?tab=default_tab&amp;search_scope=EVERYTHING&amp;vid=01CRU&amp;lang=en_US&amp;offset=0&amp;query=any,contains,991003564369702656","Catalog Record")</f>
        <v>Catalog Record</v>
      </c>
      <c r="AT624" s="6" t="str">
        <f>HYPERLINK("http://www.worldcat.org/oclc/41628150","WorldCat Record")</f>
        <v>WorldCat Record</v>
      </c>
      <c r="AU624" s="3" t="s">
        <v>7983</v>
      </c>
      <c r="AV624" s="3" t="s">
        <v>7984</v>
      </c>
      <c r="AW624" s="3" t="s">
        <v>7985</v>
      </c>
      <c r="AX624" s="3" t="s">
        <v>7985</v>
      </c>
      <c r="AY624" s="3" t="s">
        <v>7986</v>
      </c>
      <c r="AZ624" s="3" t="s">
        <v>75</v>
      </c>
      <c r="BB624" s="3" t="s">
        <v>7987</v>
      </c>
      <c r="BC624" s="3" t="s">
        <v>7988</v>
      </c>
      <c r="BD624" s="3" t="s">
        <v>7989</v>
      </c>
    </row>
    <row r="625" spans="1:56" ht="39" customHeight="1" x14ac:dyDescent="0.25">
      <c r="A625" s="7" t="s">
        <v>58</v>
      </c>
      <c r="B625" s="2" t="s">
        <v>7990</v>
      </c>
      <c r="C625" s="2" t="s">
        <v>7991</v>
      </c>
      <c r="D625" s="2" t="s">
        <v>7992</v>
      </c>
      <c r="F625" s="3" t="s">
        <v>58</v>
      </c>
      <c r="G625" s="3" t="s">
        <v>59</v>
      </c>
      <c r="H625" s="3" t="s">
        <v>58</v>
      </c>
      <c r="I625" s="3" t="s">
        <v>58</v>
      </c>
      <c r="J625" s="3" t="s">
        <v>60</v>
      </c>
      <c r="K625" s="2" t="s">
        <v>3880</v>
      </c>
      <c r="L625" s="2" t="s">
        <v>7993</v>
      </c>
      <c r="M625" s="3" t="s">
        <v>128</v>
      </c>
      <c r="O625" s="3" t="s">
        <v>65</v>
      </c>
      <c r="P625" s="3" t="s">
        <v>304</v>
      </c>
      <c r="R625" s="3" t="s">
        <v>68</v>
      </c>
      <c r="S625" s="4">
        <v>6</v>
      </c>
      <c r="T625" s="4">
        <v>6</v>
      </c>
      <c r="U625" s="5" t="s">
        <v>7994</v>
      </c>
      <c r="V625" s="5" t="s">
        <v>7994</v>
      </c>
      <c r="W625" s="5" t="s">
        <v>7849</v>
      </c>
      <c r="X625" s="5" t="s">
        <v>7849</v>
      </c>
      <c r="Y625" s="4">
        <v>181</v>
      </c>
      <c r="Z625" s="4">
        <v>145</v>
      </c>
      <c r="AA625" s="4">
        <v>149</v>
      </c>
      <c r="AB625" s="4">
        <v>4</v>
      </c>
      <c r="AC625" s="4">
        <v>4</v>
      </c>
      <c r="AD625" s="4">
        <v>17</v>
      </c>
      <c r="AE625" s="4">
        <v>17</v>
      </c>
      <c r="AF625" s="4">
        <v>4</v>
      </c>
      <c r="AG625" s="4">
        <v>4</v>
      </c>
      <c r="AH625" s="4">
        <v>5</v>
      </c>
      <c r="AI625" s="4">
        <v>5</v>
      </c>
      <c r="AJ625" s="4">
        <v>11</v>
      </c>
      <c r="AK625" s="4">
        <v>11</v>
      </c>
      <c r="AL625" s="4">
        <v>1</v>
      </c>
      <c r="AM625" s="4">
        <v>1</v>
      </c>
      <c r="AN625" s="4">
        <v>0</v>
      </c>
      <c r="AO625" s="4">
        <v>0</v>
      </c>
      <c r="AP625" s="3" t="s">
        <v>58</v>
      </c>
      <c r="AQ625" s="3" t="s">
        <v>58</v>
      </c>
      <c r="AS625" s="6" t="str">
        <f>HYPERLINK("https://creighton-primo.hosted.exlibrisgroup.com/primo-explore/search?tab=default_tab&amp;search_scope=EVERYTHING&amp;vid=01CRU&amp;lang=en_US&amp;offset=0&amp;query=any,contains,991004286089702656","Catalog Record")</f>
        <v>Catalog Record</v>
      </c>
      <c r="AT625" s="6" t="str">
        <f>HYPERLINK("http://www.worldcat.org/oclc/2925803","WorldCat Record")</f>
        <v>WorldCat Record</v>
      </c>
      <c r="AU625" s="3" t="s">
        <v>7995</v>
      </c>
      <c r="AV625" s="3" t="s">
        <v>7996</v>
      </c>
      <c r="AW625" s="3" t="s">
        <v>7997</v>
      </c>
      <c r="AX625" s="3" t="s">
        <v>7997</v>
      </c>
      <c r="AY625" s="3" t="s">
        <v>7998</v>
      </c>
      <c r="AZ625" s="3" t="s">
        <v>75</v>
      </c>
      <c r="BB625" s="3" t="s">
        <v>7999</v>
      </c>
      <c r="BC625" s="3" t="s">
        <v>8000</v>
      </c>
      <c r="BD625" s="3" t="s">
        <v>8001</v>
      </c>
    </row>
    <row r="626" spans="1:56" ht="39" customHeight="1" x14ac:dyDescent="0.25">
      <c r="A626" s="7" t="s">
        <v>58</v>
      </c>
      <c r="B626" s="2" t="s">
        <v>8002</v>
      </c>
      <c r="C626" s="2" t="s">
        <v>8003</v>
      </c>
      <c r="D626" s="2" t="s">
        <v>8004</v>
      </c>
      <c r="F626" s="3" t="s">
        <v>58</v>
      </c>
      <c r="G626" s="3" t="s">
        <v>59</v>
      </c>
      <c r="H626" s="3" t="s">
        <v>58</v>
      </c>
      <c r="I626" s="3" t="s">
        <v>58</v>
      </c>
      <c r="J626" s="3" t="s">
        <v>60</v>
      </c>
      <c r="K626" s="2" t="s">
        <v>8005</v>
      </c>
      <c r="L626" s="2" t="s">
        <v>8006</v>
      </c>
      <c r="M626" s="3" t="s">
        <v>1046</v>
      </c>
      <c r="N626" s="2" t="s">
        <v>476</v>
      </c>
      <c r="O626" s="3" t="s">
        <v>65</v>
      </c>
      <c r="P626" s="3" t="s">
        <v>477</v>
      </c>
      <c r="R626" s="3" t="s">
        <v>68</v>
      </c>
      <c r="S626" s="4">
        <v>2</v>
      </c>
      <c r="T626" s="4">
        <v>2</v>
      </c>
      <c r="U626" s="5" t="s">
        <v>8007</v>
      </c>
      <c r="V626" s="5" t="s">
        <v>8007</v>
      </c>
      <c r="W626" s="5" t="s">
        <v>7849</v>
      </c>
      <c r="X626" s="5" t="s">
        <v>7849</v>
      </c>
      <c r="Y626" s="4">
        <v>311</v>
      </c>
      <c r="Z626" s="4">
        <v>271</v>
      </c>
      <c r="AA626" s="4">
        <v>278</v>
      </c>
      <c r="AB626" s="4">
        <v>2</v>
      </c>
      <c r="AC626" s="4">
        <v>2</v>
      </c>
      <c r="AD626" s="4">
        <v>19</v>
      </c>
      <c r="AE626" s="4">
        <v>19</v>
      </c>
      <c r="AF626" s="4">
        <v>10</v>
      </c>
      <c r="AG626" s="4">
        <v>10</v>
      </c>
      <c r="AH626" s="4">
        <v>4</v>
      </c>
      <c r="AI626" s="4">
        <v>4</v>
      </c>
      <c r="AJ626" s="4">
        <v>9</v>
      </c>
      <c r="AK626" s="4">
        <v>9</v>
      </c>
      <c r="AL626" s="4">
        <v>1</v>
      </c>
      <c r="AM626" s="4">
        <v>1</v>
      </c>
      <c r="AN626" s="4">
        <v>0</v>
      </c>
      <c r="AO626" s="4">
        <v>0</v>
      </c>
      <c r="AP626" s="3" t="s">
        <v>58</v>
      </c>
      <c r="AQ626" s="3" t="s">
        <v>132</v>
      </c>
      <c r="AR626" s="6" t="str">
        <f>HYPERLINK("http://catalog.hathitrust.org/Record/009440512","HathiTrust Record")</f>
        <v>HathiTrust Record</v>
      </c>
      <c r="AS626" s="6" t="str">
        <f>HYPERLINK("https://creighton-primo.hosted.exlibrisgroup.com/primo-explore/search?tab=default_tab&amp;search_scope=EVERYTHING&amp;vid=01CRU&amp;lang=en_US&amp;offset=0&amp;query=any,contains,991000823829702656","Catalog Record")</f>
        <v>Catalog Record</v>
      </c>
      <c r="AT626" s="6" t="str">
        <f>HYPERLINK("http://www.worldcat.org/oclc/13397396","WorldCat Record")</f>
        <v>WorldCat Record</v>
      </c>
      <c r="AU626" s="3" t="s">
        <v>8008</v>
      </c>
      <c r="AV626" s="3" t="s">
        <v>8009</v>
      </c>
      <c r="AW626" s="3" t="s">
        <v>8010</v>
      </c>
      <c r="AX626" s="3" t="s">
        <v>8010</v>
      </c>
      <c r="AY626" s="3" t="s">
        <v>8011</v>
      </c>
      <c r="AZ626" s="3" t="s">
        <v>75</v>
      </c>
      <c r="BB626" s="3" t="s">
        <v>8012</v>
      </c>
      <c r="BC626" s="3" t="s">
        <v>8013</v>
      </c>
      <c r="BD626" s="3" t="s">
        <v>8014</v>
      </c>
    </row>
    <row r="627" spans="1:56" ht="39" customHeight="1" x14ac:dyDescent="0.25">
      <c r="A627" s="7" t="s">
        <v>58</v>
      </c>
      <c r="B627" s="2" t="s">
        <v>8015</v>
      </c>
      <c r="C627" s="2" t="s">
        <v>8016</v>
      </c>
      <c r="D627" s="2" t="s">
        <v>8017</v>
      </c>
      <c r="F627" s="3" t="s">
        <v>58</v>
      </c>
      <c r="G627" s="3" t="s">
        <v>59</v>
      </c>
      <c r="H627" s="3" t="s">
        <v>58</v>
      </c>
      <c r="I627" s="3" t="s">
        <v>58</v>
      </c>
      <c r="J627" s="3" t="s">
        <v>60</v>
      </c>
      <c r="L627" s="2" t="s">
        <v>8018</v>
      </c>
      <c r="M627" s="3" t="s">
        <v>781</v>
      </c>
      <c r="O627" s="3" t="s">
        <v>65</v>
      </c>
      <c r="P627" s="3" t="s">
        <v>113</v>
      </c>
      <c r="Q627" s="2" t="s">
        <v>8019</v>
      </c>
      <c r="R627" s="3" t="s">
        <v>68</v>
      </c>
      <c r="S627" s="4">
        <v>4</v>
      </c>
      <c r="T627" s="4">
        <v>4</v>
      </c>
      <c r="U627" s="5" t="s">
        <v>8020</v>
      </c>
      <c r="V627" s="5" t="s">
        <v>8020</v>
      </c>
      <c r="W627" s="5" t="s">
        <v>7849</v>
      </c>
      <c r="X627" s="5" t="s">
        <v>7849</v>
      </c>
      <c r="Y627" s="4">
        <v>37</v>
      </c>
      <c r="Z627" s="4">
        <v>37</v>
      </c>
      <c r="AA627" s="4">
        <v>67</v>
      </c>
      <c r="AB627" s="4">
        <v>1</v>
      </c>
      <c r="AC627" s="4">
        <v>1</v>
      </c>
      <c r="AD627" s="4">
        <v>11</v>
      </c>
      <c r="AE627" s="4">
        <v>13</v>
      </c>
      <c r="AF627" s="4">
        <v>5</v>
      </c>
      <c r="AG627" s="4">
        <v>5</v>
      </c>
      <c r="AH627" s="4">
        <v>3</v>
      </c>
      <c r="AI627" s="4">
        <v>3</v>
      </c>
      <c r="AJ627" s="4">
        <v>9</v>
      </c>
      <c r="AK627" s="4">
        <v>11</v>
      </c>
      <c r="AL627" s="4">
        <v>0</v>
      </c>
      <c r="AM627" s="4">
        <v>0</v>
      </c>
      <c r="AN627" s="4">
        <v>0</v>
      </c>
      <c r="AO627" s="4">
        <v>0</v>
      </c>
      <c r="AP627" s="3" t="s">
        <v>58</v>
      </c>
      <c r="AQ627" s="3" t="s">
        <v>58</v>
      </c>
      <c r="AS627" s="6" t="str">
        <f>HYPERLINK("https://creighton-primo.hosted.exlibrisgroup.com/primo-explore/search?tab=default_tab&amp;search_scope=EVERYTHING&amp;vid=01CRU&amp;lang=en_US&amp;offset=0&amp;query=any,contains,991000689349702656","Catalog Record")</f>
        <v>Catalog Record</v>
      </c>
      <c r="AT627" s="6" t="str">
        <f>HYPERLINK("http://www.worldcat.org/oclc/12437282","WorldCat Record")</f>
        <v>WorldCat Record</v>
      </c>
      <c r="AU627" s="3" t="s">
        <v>8021</v>
      </c>
      <c r="AV627" s="3" t="s">
        <v>8022</v>
      </c>
      <c r="AW627" s="3" t="s">
        <v>8023</v>
      </c>
      <c r="AX627" s="3" t="s">
        <v>8023</v>
      </c>
      <c r="AY627" s="3" t="s">
        <v>8024</v>
      </c>
      <c r="AZ627" s="3" t="s">
        <v>75</v>
      </c>
      <c r="BC627" s="3" t="s">
        <v>8025</v>
      </c>
      <c r="BD627" s="3" t="s">
        <v>8026</v>
      </c>
    </row>
    <row r="628" spans="1:56" ht="39" customHeight="1" x14ac:dyDescent="0.25">
      <c r="A628" s="7" t="s">
        <v>58</v>
      </c>
      <c r="B628" s="2" t="s">
        <v>8027</v>
      </c>
      <c r="C628" s="2" t="s">
        <v>8028</v>
      </c>
      <c r="D628" s="2" t="s">
        <v>8029</v>
      </c>
      <c r="F628" s="3" t="s">
        <v>58</v>
      </c>
      <c r="G628" s="3" t="s">
        <v>59</v>
      </c>
      <c r="H628" s="3" t="s">
        <v>58</v>
      </c>
      <c r="I628" s="3" t="s">
        <v>58</v>
      </c>
      <c r="J628" s="3" t="s">
        <v>60</v>
      </c>
      <c r="K628" s="2" t="s">
        <v>8030</v>
      </c>
      <c r="L628" s="2" t="s">
        <v>8031</v>
      </c>
      <c r="M628" s="3" t="s">
        <v>1302</v>
      </c>
      <c r="O628" s="3" t="s">
        <v>65</v>
      </c>
      <c r="P628" s="3" t="s">
        <v>571</v>
      </c>
      <c r="R628" s="3" t="s">
        <v>68</v>
      </c>
      <c r="S628" s="4">
        <v>2</v>
      </c>
      <c r="T628" s="4">
        <v>2</v>
      </c>
      <c r="U628" s="5" t="s">
        <v>8032</v>
      </c>
      <c r="V628" s="5" t="s">
        <v>8032</v>
      </c>
      <c r="W628" s="5" t="s">
        <v>8033</v>
      </c>
      <c r="X628" s="5" t="s">
        <v>8033</v>
      </c>
      <c r="Y628" s="4">
        <v>355</v>
      </c>
      <c r="Z628" s="4">
        <v>312</v>
      </c>
      <c r="AA628" s="4">
        <v>312</v>
      </c>
      <c r="AB628" s="4">
        <v>3</v>
      </c>
      <c r="AC628" s="4">
        <v>3</v>
      </c>
      <c r="AD628" s="4">
        <v>20</v>
      </c>
      <c r="AE628" s="4">
        <v>20</v>
      </c>
      <c r="AF628" s="4">
        <v>7</v>
      </c>
      <c r="AG628" s="4">
        <v>7</v>
      </c>
      <c r="AH628" s="4">
        <v>5</v>
      </c>
      <c r="AI628" s="4">
        <v>5</v>
      </c>
      <c r="AJ628" s="4">
        <v>10</v>
      </c>
      <c r="AK628" s="4">
        <v>10</v>
      </c>
      <c r="AL628" s="4">
        <v>2</v>
      </c>
      <c r="AM628" s="4">
        <v>2</v>
      </c>
      <c r="AN628" s="4">
        <v>0</v>
      </c>
      <c r="AO628" s="4">
        <v>0</v>
      </c>
      <c r="AP628" s="3" t="s">
        <v>58</v>
      </c>
      <c r="AQ628" s="3" t="s">
        <v>58</v>
      </c>
      <c r="AS628" s="6" t="str">
        <f>HYPERLINK("https://creighton-primo.hosted.exlibrisgroup.com/primo-explore/search?tab=default_tab&amp;search_scope=EVERYTHING&amp;vid=01CRU&amp;lang=en_US&amp;offset=0&amp;query=any,contains,991003763799702656","Catalog Record")</f>
        <v>Catalog Record</v>
      </c>
      <c r="AT628" s="6" t="str">
        <f>HYPERLINK("http://www.worldcat.org/oclc/46872150","WorldCat Record")</f>
        <v>WorldCat Record</v>
      </c>
      <c r="AU628" s="3" t="s">
        <v>8034</v>
      </c>
      <c r="AV628" s="3" t="s">
        <v>8035</v>
      </c>
      <c r="AW628" s="3" t="s">
        <v>8036</v>
      </c>
      <c r="AX628" s="3" t="s">
        <v>8036</v>
      </c>
      <c r="AY628" s="3" t="s">
        <v>8037</v>
      </c>
      <c r="AZ628" s="3" t="s">
        <v>75</v>
      </c>
      <c r="BB628" s="3" t="s">
        <v>8038</v>
      </c>
      <c r="BC628" s="3" t="s">
        <v>8039</v>
      </c>
      <c r="BD628" s="3" t="s">
        <v>8040</v>
      </c>
    </row>
    <row r="629" spans="1:56" ht="39" customHeight="1" x14ac:dyDescent="0.25">
      <c r="A629" s="7" t="s">
        <v>58</v>
      </c>
      <c r="B629" s="2" t="s">
        <v>8041</v>
      </c>
      <c r="C629" s="2" t="s">
        <v>8042</v>
      </c>
      <c r="D629" s="2" t="s">
        <v>8043</v>
      </c>
      <c r="F629" s="3" t="s">
        <v>58</v>
      </c>
      <c r="G629" s="3" t="s">
        <v>59</v>
      </c>
      <c r="H629" s="3" t="s">
        <v>58</v>
      </c>
      <c r="I629" s="3" t="s">
        <v>58</v>
      </c>
      <c r="J629" s="3" t="s">
        <v>60</v>
      </c>
      <c r="L629" s="2" t="s">
        <v>8044</v>
      </c>
      <c r="M629" s="3" t="s">
        <v>1150</v>
      </c>
      <c r="O629" s="3" t="s">
        <v>65</v>
      </c>
      <c r="P629" s="3" t="s">
        <v>8045</v>
      </c>
      <c r="R629" s="3" t="s">
        <v>68</v>
      </c>
      <c r="S629" s="4">
        <v>4</v>
      </c>
      <c r="T629" s="4">
        <v>4</v>
      </c>
      <c r="U629" s="5" t="s">
        <v>8046</v>
      </c>
      <c r="V629" s="5" t="s">
        <v>8046</v>
      </c>
      <c r="W629" s="5" t="s">
        <v>8047</v>
      </c>
      <c r="X629" s="5" t="s">
        <v>8047</v>
      </c>
      <c r="Y629" s="4">
        <v>279</v>
      </c>
      <c r="Z629" s="4">
        <v>196</v>
      </c>
      <c r="AA629" s="4">
        <v>198</v>
      </c>
      <c r="AB629" s="4">
        <v>2</v>
      </c>
      <c r="AC629" s="4">
        <v>2</v>
      </c>
      <c r="AD629" s="4">
        <v>15</v>
      </c>
      <c r="AE629" s="4">
        <v>15</v>
      </c>
      <c r="AF629" s="4">
        <v>6</v>
      </c>
      <c r="AG629" s="4">
        <v>6</v>
      </c>
      <c r="AH629" s="4">
        <v>3</v>
      </c>
      <c r="AI629" s="4">
        <v>3</v>
      </c>
      <c r="AJ629" s="4">
        <v>10</v>
      </c>
      <c r="AK629" s="4">
        <v>10</v>
      </c>
      <c r="AL629" s="4">
        <v>1</v>
      </c>
      <c r="AM629" s="4">
        <v>1</v>
      </c>
      <c r="AN629" s="4">
        <v>0</v>
      </c>
      <c r="AO629" s="4">
        <v>0</v>
      </c>
      <c r="AP629" s="3" t="s">
        <v>58</v>
      </c>
      <c r="AQ629" s="3" t="s">
        <v>132</v>
      </c>
      <c r="AR629" s="6" t="str">
        <f>HYPERLINK("http://catalog.hathitrust.org/Record/003138044","HathiTrust Record")</f>
        <v>HathiTrust Record</v>
      </c>
      <c r="AS629" s="6" t="str">
        <f>HYPERLINK("https://creighton-primo.hosted.exlibrisgroup.com/primo-explore/search?tab=default_tab&amp;search_scope=EVERYTHING&amp;vid=01CRU&amp;lang=en_US&amp;offset=0&amp;query=any,contains,991002731769702656","Catalog Record")</f>
        <v>Catalog Record</v>
      </c>
      <c r="AT629" s="6" t="str">
        <f>HYPERLINK("http://www.worldcat.org/oclc/59655801","WorldCat Record")</f>
        <v>WorldCat Record</v>
      </c>
      <c r="AU629" s="3" t="s">
        <v>8048</v>
      </c>
      <c r="AV629" s="3" t="s">
        <v>8049</v>
      </c>
      <c r="AW629" s="3" t="s">
        <v>8050</v>
      </c>
      <c r="AX629" s="3" t="s">
        <v>8050</v>
      </c>
      <c r="AY629" s="3" t="s">
        <v>8051</v>
      </c>
      <c r="AZ629" s="3" t="s">
        <v>75</v>
      </c>
      <c r="BB629" s="3" t="s">
        <v>8052</v>
      </c>
      <c r="BC629" s="3" t="s">
        <v>8053</v>
      </c>
      <c r="BD629" s="3" t="s">
        <v>8054</v>
      </c>
    </row>
    <row r="630" spans="1:56" ht="39" customHeight="1" x14ac:dyDescent="0.25">
      <c r="A630" s="7" t="s">
        <v>58</v>
      </c>
      <c r="B630" s="2" t="s">
        <v>8055</v>
      </c>
      <c r="C630" s="2" t="s">
        <v>8056</v>
      </c>
      <c r="D630" s="2" t="s">
        <v>8057</v>
      </c>
      <c r="F630" s="3" t="s">
        <v>58</v>
      </c>
      <c r="G630" s="3" t="s">
        <v>59</v>
      </c>
      <c r="H630" s="3" t="s">
        <v>58</v>
      </c>
      <c r="I630" s="3" t="s">
        <v>58</v>
      </c>
      <c r="J630" s="3" t="s">
        <v>60</v>
      </c>
      <c r="K630" s="2" t="s">
        <v>8058</v>
      </c>
      <c r="L630" s="2" t="s">
        <v>8059</v>
      </c>
      <c r="M630" s="3" t="s">
        <v>112</v>
      </c>
      <c r="O630" s="3" t="s">
        <v>65</v>
      </c>
      <c r="P630" s="3" t="s">
        <v>158</v>
      </c>
      <c r="R630" s="3" t="s">
        <v>68</v>
      </c>
      <c r="S630" s="4">
        <v>8</v>
      </c>
      <c r="T630" s="4">
        <v>8</v>
      </c>
      <c r="U630" s="5" t="s">
        <v>8060</v>
      </c>
      <c r="V630" s="5" t="s">
        <v>8060</v>
      </c>
      <c r="W630" s="5" t="s">
        <v>8061</v>
      </c>
      <c r="X630" s="5" t="s">
        <v>8061</v>
      </c>
      <c r="Y630" s="4">
        <v>397</v>
      </c>
      <c r="Z630" s="4">
        <v>341</v>
      </c>
      <c r="AA630" s="4">
        <v>343</v>
      </c>
      <c r="AB630" s="4">
        <v>3</v>
      </c>
      <c r="AC630" s="4">
        <v>3</v>
      </c>
      <c r="AD630" s="4">
        <v>20</v>
      </c>
      <c r="AE630" s="4">
        <v>20</v>
      </c>
      <c r="AF630" s="4">
        <v>8</v>
      </c>
      <c r="AG630" s="4">
        <v>8</v>
      </c>
      <c r="AH630" s="4">
        <v>4</v>
      </c>
      <c r="AI630" s="4">
        <v>4</v>
      </c>
      <c r="AJ630" s="4">
        <v>13</v>
      </c>
      <c r="AK630" s="4">
        <v>13</v>
      </c>
      <c r="AL630" s="4">
        <v>2</v>
      </c>
      <c r="AM630" s="4">
        <v>2</v>
      </c>
      <c r="AN630" s="4">
        <v>0</v>
      </c>
      <c r="AO630" s="4">
        <v>0</v>
      </c>
      <c r="AP630" s="3" t="s">
        <v>58</v>
      </c>
      <c r="AQ630" s="3" t="s">
        <v>132</v>
      </c>
      <c r="AR630" s="6" t="str">
        <f>HYPERLINK("http://catalog.hathitrust.org/Record/002557658","HathiTrust Record")</f>
        <v>HathiTrust Record</v>
      </c>
      <c r="AS630" s="6" t="str">
        <f>HYPERLINK("https://creighton-primo.hosted.exlibrisgroup.com/primo-explore/search?tab=default_tab&amp;search_scope=EVERYTHING&amp;vid=01CRU&amp;lang=en_US&amp;offset=0&amp;query=any,contains,991001987399702656","Catalog Record")</f>
        <v>Catalog Record</v>
      </c>
      <c r="AT630" s="6" t="str">
        <f>HYPERLINK("http://www.worldcat.org/oclc/25246363","WorldCat Record")</f>
        <v>WorldCat Record</v>
      </c>
      <c r="AU630" s="3" t="s">
        <v>8062</v>
      </c>
      <c r="AV630" s="3" t="s">
        <v>8063</v>
      </c>
      <c r="AW630" s="3" t="s">
        <v>8064</v>
      </c>
      <c r="AX630" s="3" t="s">
        <v>8064</v>
      </c>
      <c r="AY630" s="3" t="s">
        <v>8065</v>
      </c>
      <c r="AZ630" s="3" t="s">
        <v>75</v>
      </c>
      <c r="BB630" s="3" t="s">
        <v>8066</v>
      </c>
      <c r="BC630" s="3" t="s">
        <v>8067</v>
      </c>
      <c r="BD630" s="3" t="s">
        <v>8068</v>
      </c>
    </row>
    <row r="631" spans="1:56" ht="39" customHeight="1" x14ac:dyDescent="0.25">
      <c r="A631" s="7" t="s">
        <v>58</v>
      </c>
      <c r="B631" s="2" t="s">
        <v>8069</v>
      </c>
      <c r="C631" s="2" t="s">
        <v>8070</v>
      </c>
      <c r="D631" s="2" t="s">
        <v>8071</v>
      </c>
      <c r="F631" s="3" t="s">
        <v>58</v>
      </c>
      <c r="G631" s="3" t="s">
        <v>59</v>
      </c>
      <c r="H631" s="3" t="s">
        <v>58</v>
      </c>
      <c r="I631" s="3" t="s">
        <v>58</v>
      </c>
      <c r="J631" s="3" t="s">
        <v>60</v>
      </c>
      <c r="K631" s="2" t="s">
        <v>7494</v>
      </c>
      <c r="L631" s="2" t="s">
        <v>7940</v>
      </c>
      <c r="M631" s="3" t="s">
        <v>318</v>
      </c>
      <c r="O631" s="3" t="s">
        <v>65</v>
      </c>
      <c r="P631" s="3" t="s">
        <v>186</v>
      </c>
      <c r="Q631" s="2" t="s">
        <v>8072</v>
      </c>
      <c r="R631" s="3" t="s">
        <v>68</v>
      </c>
      <c r="S631" s="4">
        <v>8</v>
      </c>
      <c r="T631" s="4">
        <v>8</v>
      </c>
      <c r="U631" s="5" t="s">
        <v>8073</v>
      </c>
      <c r="V631" s="5" t="s">
        <v>8073</v>
      </c>
      <c r="W631" s="5" t="s">
        <v>5161</v>
      </c>
      <c r="X631" s="5" t="s">
        <v>5161</v>
      </c>
      <c r="Y631" s="4">
        <v>419</v>
      </c>
      <c r="Z631" s="4">
        <v>383</v>
      </c>
      <c r="AA631" s="4">
        <v>387</v>
      </c>
      <c r="AB631" s="4">
        <v>5</v>
      </c>
      <c r="AC631" s="4">
        <v>5</v>
      </c>
      <c r="AD631" s="4">
        <v>25</v>
      </c>
      <c r="AE631" s="4">
        <v>25</v>
      </c>
      <c r="AF631" s="4">
        <v>7</v>
      </c>
      <c r="AG631" s="4">
        <v>7</v>
      </c>
      <c r="AH631" s="4">
        <v>5</v>
      </c>
      <c r="AI631" s="4">
        <v>5</v>
      </c>
      <c r="AJ631" s="4">
        <v>16</v>
      </c>
      <c r="AK631" s="4">
        <v>16</v>
      </c>
      <c r="AL631" s="4">
        <v>3</v>
      </c>
      <c r="AM631" s="4">
        <v>3</v>
      </c>
      <c r="AN631" s="4">
        <v>0</v>
      </c>
      <c r="AO631" s="4">
        <v>0</v>
      </c>
      <c r="AP631" s="3" t="s">
        <v>58</v>
      </c>
      <c r="AQ631" s="3" t="s">
        <v>58</v>
      </c>
      <c r="AS631" s="6" t="str">
        <f>HYPERLINK("https://creighton-primo.hosted.exlibrisgroup.com/primo-explore/search?tab=default_tab&amp;search_scope=EVERYTHING&amp;vid=01CRU&amp;lang=en_US&amp;offset=0&amp;query=any,contains,991005427709702656","Catalog Record")</f>
        <v>Catalog Record</v>
      </c>
      <c r="AT631" s="6" t="str">
        <f>HYPERLINK("http://www.worldcat.org/oclc/38216138","WorldCat Record")</f>
        <v>WorldCat Record</v>
      </c>
      <c r="AU631" s="3" t="s">
        <v>8074</v>
      </c>
      <c r="AV631" s="3" t="s">
        <v>8075</v>
      </c>
      <c r="AW631" s="3" t="s">
        <v>8076</v>
      </c>
      <c r="AX631" s="3" t="s">
        <v>8076</v>
      </c>
      <c r="AY631" s="3" t="s">
        <v>8077</v>
      </c>
      <c r="AZ631" s="3" t="s">
        <v>75</v>
      </c>
      <c r="BB631" s="3" t="s">
        <v>8078</v>
      </c>
      <c r="BC631" s="3" t="s">
        <v>8079</v>
      </c>
      <c r="BD631" s="3" t="s">
        <v>8080</v>
      </c>
    </row>
    <row r="632" spans="1:56" ht="39" customHeight="1" x14ac:dyDescent="0.25">
      <c r="A632" s="7" t="s">
        <v>58</v>
      </c>
      <c r="B632" s="2" t="s">
        <v>8081</v>
      </c>
      <c r="C632" s="2" t="s">
        <v>8082</v>
      </c>
      <c r="D632" s="2" t="s">
        <v>8083</v>
      </c>
      <c r="F632" s="3" t="s">
        <v>58</v>
      </c>
      <c r="G632" s="3" t="s">
        <v>59</v>
      </c>
      <c r="H632" s="3" t="s">
        <v>58</v>
      </c>
      <c r="I632" s="3" t="s">
        <v>58</v>
      </c>
      <c r="J632" s="3" t="s">
        <v>60</v>
      </c>
      <c r="K632" s="2" t="s">
        <v>8084</v>
      </c>
      <c r="L632" s="2" t="s">
        <v>8085</v>
      </c>
      <c r="M632" s="3" t="s">
        <v>185</v>
      </c>
      <c r="O632" s="3" t="s">
        <v>65</v>
      </c>
      <c r="P632" s="3" t="s">
        <v>186</v>
      </c>
      <c r="R632" s="3" t="s">
        <v>68</v>
      </c>
      <c r="S632" s="4">
        <v>4</v>
      </c>
      <c r="T632" s="4">
        <v>4</v>
      </c>
      <c r="U632" s="5" t="s">
        <v>8086</v>
      </c>
      <c r="V632" s="5" t="s">
        <v>8086</v>
      </c>
      <c r="W632" s="5" t="s">
        <v>7981</v>
      </c>
      <c r="X632" s="5" t="s">
        <v>7981</v>
      </c>
      <c r="Y632" s="4">
        <v>77</v>
      </c>
      <c r="Z632" s="4">
        <v>68</v>
      </c>
      <c r="AA632" s="4">
        <v>73</v>
      </c>
      <c r="AB632" s="4">
        <v>1</v>
      </c>
      <c r="AC632" s="4">
        <v>1</v>
      </c>
      <c r="AD632" s="4">
        <v>7</v>
      </c>
      <c r="AE632" s="4">
        <v>7</v>
      </c>
      <c r="AF632" s="4">
        <v>3</v>
      </c>
      <c r="AG632" s="4">
        <v>3</v>
      </c>
      <c r="AH632" s="4">
        <v>1</v>
      </c>
      <c r="AI632" s="4">
        <v>1</v>
      </c>
      <c r="AJ632" s="4">
        <v>3</v>
      </c>
      <c r="AK632" s="4">
        <v>3</v>
      </c>
      <c r="AL632" s="4">
        <v>0</v>
      </c>
      <c r="AM632" s="4">
        <v>0</v>
      </c>
      <c r="AN632" s="4">
        <v>0</v>
      </c>
      <c r="AO632" s="4">
        <v>0</v>
      </c>
      <c r="AP632" s="3" t="s">
        <v>58</v>
      </c>
      <c r="AQ632" s="3" t="s">
        <v>58</v>
      </c>
      <c r="AS632" s="6" t="str">
        <f>HYPERLINK("https://creighton-primo.hosted.exlibrisgroup.com/primo-explore/search?tab=default_tab&amp;search_scope=EVERYTHING&amp;vid=01CRU&amp;lang=en_US&amp;offset=0&amp;query=any,contains,991003577399702656","Catalog Record")</f>
        <v>Catalog Record</v>
      </c>
      <c r="AT632" s="6" t="str">
        <f>HYPERLINK("http://www.worldcat.org/oclc/41452575","WorldCat Record")</f>
        <v>WorldCat Record</v>
      </c>
      <c r="AU632" s="3" t="s">
        <v>8087</v>
      </c>
      <c r="AV632" s="3" t="s">
        <v>8088</v>
      </c>
      <c r="AW632" s="3" t="s">
        <v>8089</v>
      </c>
      <c r="AX632" s="3" t="s">
        <v>8089</v>
      </c>
      <c r="AY632" s="3" t="s">
        <v>8090</v>
      </c>
      <c r="AZ632" s="3" t="s">
        <v>75</v>
      </c>
      <c r="BB632" s="3" t="s">
        <v>8091</v>
      </c>
      <c r="BC632" s="3" t="s">
        <v>8092</v>
      </c>
      <c r="BD632" s="3" t="s">
        <v>8093</v>
      </c>
    </row>
    <row r="633" spans="1:56" ht="39" customHeight="1" x14ac:dyDescent="0.25">
      <c r="A633" s="7" t="s">
        <v>58</v>
      </c>
      <c r="B633" s="2" t="s">
        <v>8094</v>
      </c>
      <c r="C633" s="2" t="s">
        <v>8095</v>
      </c>
      <c r="D633" s="2" t="s">
        <v>8096</v>
      </c>
      <c r="F633" s="3" t="s">
        <v>58</v>
      </c>
      <c r="G633" s="3" t="s">
        <v>59</v>
      </c>
      <c r="H633" s="3" t="s">
        <v>58</v>
      </c>
      <c r="I633" s="3" t="s">
        <v>58</v>
      </c>
      <c r="J633" s="3" t="s">
        <v>60</v>
      </c>
      <c r="K633" s="2" t="s">
        <v>8097</v>
      </c>
      <c r="L633" s="2" t="s">
        <v>6417</v>
      </c>
      <c r="M633" s="3" t="s">
        <v>3656</v>
      </c>
      <c r="N633" s="2" t="s">
        <v>476</v>
      </c>
      <c r="O633" s="3" t="s">
        <v>65</v>
      </c>
      <c r="P633" s="3" t="s">
        <v>1724</v>
      </c>
      <c r="Q633" s="2" t="s">
        <v>8098</v>
      </c>
      <c r="R633" s="3" t="s">
        <v>68</v>
      </c>
      <c r="S633" s="4">
        <v>2</v>
      </c>
      <c r="T633" s="4">
        <v>2</v>
      </c>
      <c r="U633" s="5" t="s">
        <v>8060</v>
      </c>
      <c r="V633" s="5" t="s">
        <v>8060</v>
      </c>
      <c r="W633" s="5" t="s">
        <v>8099</v>
      </c>
      <c r="X633" s="5" t="s">
        <v>8099</v>
      </c>
      <c r="Y633" s="4">
        <v>330</v>
      </c>
      <c r="Z633" s="4">
        <v>267</v>
      </c>
      <c r="AA633" s="4">
        <v>271</v>
      </c>
      <c r="AB633" s="4">
        <v>3</v>
      </c>
      <c r="AC633" s="4">
        <v>3</v>
      </c>
      <c r="AD633" s="4">
        <v>21</v>
      </c>
      <c r="AE633" s="4">
        <v>21</v>
      </c>
      <c r="AF633" s="4">
        <v>9</v>
      </c>
      <c r="AG633" s="4">
        <v>9</v>
      </c>
      <c r="AH633" s="4">
        <v>5</v>
      </c>
      <c r="AI633" s="4">
        <v>5</v>
      </c>
      <c r="AJ633" s="4">
        <v>12</v>
      </c>
      <c r="AK633" s="4">
        <v>12</v>
      </c>
      <c r="AL633" s="4">
        <v>2</v>
      </c>
      <c r="AM633" s="4">
        <v>2</v>
      </c>
      <c r="AN633" s="4">
        <v>0</v>
      </c>
      <c r="AO633" s="4">
        <v>0</v>
      </c>
      <c r="AP633" s="3" t="s">
        <v>58</v>
      </c>
      <c r="AQ633" s="3" t="s">
        <v>58</v>
      </c>
      <c r="AS633" s="6" t="str">
        <f>HYPERLINK("https://creighton-primo.hosted.exlibrisgroup.com/primo-explore/search?tab=default_tab&amp;search_scope=EVERYTHING&amp;vid=01CRU&amp;lang=en_US&amp;offset=0&amp;query=any,contains,991002743729702656","Catalog Record")</f>
        <v>Catalog Record</v>
      </c>
      <c r="AT633" s="6" t="str">
        <f>HYPERLINK("http://www.worldcat.org/oclc/36017094","WorldCat Record")</f>
        <v>WorldCat Record</v>
      </c>
      <c r="AU633" s="3" t="s">
        <v>8100</v>
      </c>
      <c r="AV633" s="3" t="s">
        <v>8101</v>
      </c>
      <c r="AW633" s="3" t="s">
        <v>8102</v>
      </c>
      <c r="AX633" s="3" t="s">
        <v>8102</v>
      </c>
      <c r="AY633" s="3" t="s">
        <v>8103</v>
      </c>
      <c r="AZ633" s="3" t="s">
        <v>75</v>
      </c>
      <c r="BB633" s="3" t="s">
        <v>8104</v>
      </c>
      <c r="BC633" s="3" t="s">
        <v>8105</v>
      </c>
      <c r="BD633" s="3" t="s">
        <v>8106</v>
      </c>
    </row>
    <row r="634" spans="1:56" ht="39" customHeight="1" x14ac:dyDescent="0.25">
      <c r="A634" s="7" t="s">
        <v>58</v>
      </c>
      <c r="B634" s="2" t="s">
        <v>8107</v>
      </c>
      <c r="C634" s="2" t="s">
        <v>8108</v>
      </c>
      <c r="D634" s="2" t="s">
        <v>8109</v>
      </c>
      <c r="F634" s="3" t="s">
        <v>58</v>
      </c>
      <c r="G634" s="3" t="s">
        <v>59</v>
      </c>
      <c r="H634" s="3" t="s">
        <v>58</v>
      </c>
      <c r="I634" s="3" t="s">
        <v>58</v>
      </c>
      <c r="J634" s="3" t="s">
        <v>60</v>
      </c>
      <c r="K634" s="2" t="s">
        <v>8110</v>
      </c>
      <c r="L634" s="2" t="s">
        <v>8111</v>
      </c>
      <c r="M634" s="3" t="s">
        <v>318</v>
      </c>
      <c r="O634" s="3" t="s">
        <v>65</v>
      </c>
      <c r="P634" s="3" t="s">
        <v>158</v>
      </c>
      <c r="R634" s="3" t="s">
        <v>68</v>
      </c>
      <c r="S634" s="4">
        <v>4</v>
      </c>
      <c r="T634" s="4">
        <v>4</v>
      </c>
      <c r="U634" s="5" t="s">
        <v>8112</v>
      </c>
      <c r="V634" s="5" t="s">
        <v>8112</v>
      </c>
      <c r="W634" s="5" t="s">
        <v>8113</v>
      </c>
      <c r="X634" s="5" t="s">
        <v>8113</v>
      </c>
      <c r="Y634" s="4">
        <v>407</v>
      </c>
      <c r="Z634" s="4">
        <v>326</v>
      </c>
      <c r="AA634" s="4">
        <v>326</v>
      </c>
      <c r="AB634" s="4">
        <v>3</v>
      </c>
      <c r="AC634" s="4">
        <v>3</v>
      </c>
      <c r="AD634" s="4">
        <v>24</v>
      </c>
      <c r="AE634" s="4">
        <v>24</v>
      </c>
      <c r="AF634" s="4">
        <v>11</v>
      </c>
      <c r="AG634" s="4">
        <v>11</v>
      </c>
      <c r="AH634" s="4">
        <v>4</v>
      </c>
      <c r="AI634" s="4">
        <v>4</v>
      </c>
      <c r="AJ634" s="4">
        <v>15</v>
      </c>
      <c r="AK634" s="4">
        <v>15</v>
      </c>
      <c r="AL634" s="4">
        <v>2</v>
      </c>
      <c r="AM634" s="4">
        <v>2</v>
      </c>
      <c r="AN634" s="4">
        <v>0</v>
      </c>
      <c r="AO634" s="4">
        <v>0</v>
      </c>
      <c r="AP634" s="3" t="s">
        <v>58</v>
      </c>
      <c r="AQ634" s="3" t="s">
        <v>58</v>
      </c>
      <c r="AS634" s="6" t="str">
        <f>HYPERLINK("https://creighton-primo.hosted.exlibrisgroup.com/primo-explore/search?tab=default_tab&amp;search_scope=EVERYTHING&amp;vid=01CRU&amp;lang=en_US&amp;offset=0&amp;query=any,contains,991004794079702656","Catalog Record")</f>
        <v>Catalog Record</v>
      </c>
      <c r="AT634" s="6" t="str">
        <f>HYPERLINK("http://www.worldcat.org/oclc/37694892","WorldCat Record")</f>
        <v>WorldCat Record</v>
      </c>
      <c r="AU634" s="3" t="s">
        <v>8114</v>
      </c>
      <c r="AV634" s="3" t="s">
        <v>8115</v>
      </c>
      <c r="AW634" s="3" t="s">
        <v>8116</v>
      </c>
      <c r="AX634" s="3" t="s">
        <v>8116</v>
      </c>
      <c r="AY634" s="3" t="s">
        <v>8117</v>
      </c>
      <c r="AZ634" s="3" t="s">
        <v>75</v>
      </c>
      <c r="BB634" s="3" t="s">
        <v>8118</v>
      </c>
      <c r="BC634" s="3" t="s">
        <v>8119</v>
      </c>
      <c r="BD634" s="3" t="s">
        <v>8120</v>
      </c>
    </row>
    <row r="635" spans="1:56" ht="39" customHeight="1" x14ac:dyDescent="0.25">
      <c r="A635" s="7" t="s">
        <v>58</v>
      </c>
      <c r="B635" s="2" t="s">
        <v>8121</v>
      </c>
      <c r="C635" s="2" t="s">
        <v>8122</v>
      </c>
      <c r="D635" s="2" t="s">
        <v>8123</v>
      </c>
      <c r="F635" s="3" t="s">
        <v>58</v>
      </c>
      <c r="G635" s="3" t="s">
        <v>59</v>
      </c>
      <c r="H635" s="3" t="s">
        <v>58</v>
      </c>
      <c r="I635" s="3" t="s">
        <v>58</v>
      </c>
      <c r="J635" s="3" t="s">
        <v>60</v>
      </c>
      <c r="L635" s="2" t="s">
        <v>8124</v>
      </c>
      <c r="M635" s="3" t="s">
        <v>759</v>
      </c>
      <c r="O635" s="3" t="s">
        <v>65</v>
      </c>
      <c r="P635" s="3" t="s">
        <v>84</v>
      </c>
      <c r="Q635" s="2" t="s">
        <v>8125</v>
      </c>
      <c r="R635" s="3" t="s">
        <v>68</v>
      </c>
      <c r="S635" s="4">
        <v>7</v>
      </c>
      <c r="T635" s="4">
        <v>7</v>
      </c>
      <c r="U635" s="5" t="s">
        <v>8126</v>
      </c>
      <c r="V635" s="5" t="s">
        <v>8126</v>
      </c>
      <c r="W635" s="5" t="s">
        <v>8127</v>
      </c>
      <c r="X635" s="5" t="s">
        <v>8127</v>
      </c>
      <c r="Y635" s="4">
        <v>140</v>
      </c>
      <c r="Z635" s="4">
        <v>134</v>
      </c>
      <c r="AA635" s="4">
        <v>134</v>
      </c>
      <c r="AB635" s="4">
        <v>2</v>
      </c>
      <c r="AC635" s="4">
        <v>2</v>
      </c>
      <c r="AD635" s="4">
        <v>19</v>
      </c>
      <c r="AE635" s="4">
        <v>19</v>
      </c>
      <c r="AF635" s="4">
        <v>6</v>
      </c>
      <c r="AG635" s="4">
        <v>6</v>
      </c>
      <c r="AH635" s="4">
        <v>5</v>
      </c>
      <c r="AI635" s="4">
        <v>5</v>
      </c>
      <c r="AJ635" s="4">
        <v>14</v>
      </c>
      <c r="AK635" s="4">
        <v>14</v>
      </c>
      <c r="AL635" s="4">
        <v>1</v>
      </c>
      <c r="AM635" s="4">
        <v>1</v>
      </c>
      <c r="AN635" s="4">
        <v>0</v>
      </c>
      <c r="AO635" s="4">
        <v>0</v>
      </c>
      <c r="AP635" s="3" t="s">
        <v>58</v>
      </c>
      <c r="AQ635" s="3" t="s">
        <v>58</v>
      </c>
      <c r="AS635" s="6" t="str">
        <f>HYPERLINK("https://creighton-primo.hosted.exlibrisgroup.com/primo-explore/search?tab=default_tab&amp;search_scope=EVERYTHING&amp;vid=01CRU&amp;lang=en_US&amp;offset=0&amp;query=any,contains,991001207559702656","Catalog Record")</f>
        <v>Catalog Record</v>
      </c>
      <c r="AT635" s="6" t="str">
        <f>HYPERLINK("http://www.worldcat.org/oclc/17354352","WorldCat Record")</f>
        <v>WorldCat Record</v>
      </c>
      <c r="AU635" s="3" t="s">
        <v>8128</v>
      </c>
      <c r="AV635" s="3" t="s">
        <v>8129</v>
      </c>
      <c r="AW635" s="3" t="s">
        <v>8130</v>
      </c>
      <c r="AX635" s="3" t="s">
        <v>8130</v>
      </c>
      <c r="AY635" s="3" t="s">
        <v>8131</v>
      </c>
      <c r="AZ635" s="3" t="s">
        <v>75</v>
      </c>
      <c r="BB635" s="3" t="s">
        <v>8132</v>
      </c>
      <c r="BC635" s="3" t="s">
        <v>8133</v>
      </c>
      <c r="BD635" s="3" t="s">
        <v>8134</v>
      </c>
    </row>
    <row r="636" spans="1:56" ht="39" customHeight="1" x14ac:dyDescent="0.25">
      <c r="A636" s="7" t="s">
        <v>58</v>
      </c>
      <c r="B636" s="2" t="s">
        <v>8135</v>
      </c>
      <c r="C636" s="2" t="s">
        <v>8136</v>
      </c>
      <c r="D636" s="2" t="s">
        <v>8137</v>
      </c>
      <c r="F636" s="3" t="s">
        <v>58</v>
      </c>
      <c r="G636" s="3" t="s">
        <v>59</v>
      </c>
      <c r="H636" s="3" t="s">
        <v>58</v>
      </c>
      <c r="I636" s="3" t="s">
        <v>58</v>
      </c>
      <c r="J636" s="3" t="s">
        <v>60</v>
      </c>
      <c r="L636" s="2" t="s">
        <v>8138</v>
      </c>
      <c r="M636" s="3" t="s">
        <v>1723</v>
      </c>
      <c r="O636" s="3" t="s">
        <v>65</v>
      </c>
      <c r="P636" s="3" t="s">
        <v>84</v>
      </c>
      <c r="R636" s="3" t="s">
        <v>68</v>
      </c>
      <c r="S636" s="4">
        <v>2</v>
      </c>
      <c r="T636" s="4">
        <v>2</v>
      </c>
      <c r="U636" s="5" t="s">
        <v>8139</v>
      </c>
      <c r="V636" s="5" t="s">
        <v>8139</v>
      </c>
      <c r="W636" s="5" t="s">
        <v>8139</v>
      </c>
      <c r="X636" s="5" t="s">
        <v>8139</v>
      </c>
      <c r="Y636" s="4">
        <v>207</v>
      </c>
      <c r="Z636" s="4">
        <v>179</v>
      </c>
      <c r="AA636" s="4">
        <v>182</v>
      </c>
      <c r="AB636" s="4">
        <v>1</v>
      </c>
      <c r="AC636" s="4">
        <v>1</v>
      </c>
      <c r="AD636" s="4">
        <v>9</v>
      </c>
      <c r="AE636" s="4">
        <v>9</v>
      </c>
      <c r="AF636" s="4">
        <v>5</v>
      </c>
      <c r="AG636" s="4">
        <v>5</v>
      </c>
      <c r="AH636" s="4">
        <v>4</v>
      </c>
      <c r="AI636" s="4">
        <v>4</v>
      </c>
      <c r="AJ636" s="4">
        <v>3</v>
      </c>
      <c r="AK636" s="4">
        <v>3</v>
      </c>
      <c r="AL636" s="4">
        <v>0</v>
      </c>
      <c r="AM636" s="4">
        <v>0</v>
      </c>
      <c r="AN636" s="4">
        <v>0</v>
      </c>
      <c r="AO636" s="4">
        <v>0</v>
      </c>
      <c r="AP636" s="3" t="s">
        <v>58</v>
      </c>
      <c r="AQ636" s="3" t="s">
        <v>58</v>
      </c>
      <c r="AS636" s="6" t="str">
        <f>HYPERLINK("https://creighton-primo.hosted.exlibrisgroup.com/primo-explore/search?tab=default_tab&amp;search_scope=EVERYTHING&amp;vid=01CRU&amp;lang=en_US&amp;offset=0&amp;query=any,contains,991003840499702656","Catalog Record")</f>
        <v>Catalog Record</v>
      </c>
      <c r="AT636" s="6" t="str">
        <f>HYPERLINK("http://www.worldcat.org/oclc/47254227","WorldCat Record")</f>
        <v>WorldCat Record</v>
      </c>
      <c r="AU636" s="3" t="s">
        <v>8140</v>
      </c>
      <c r="AV636" s="3" t="s">
        <v>8141</v>
      </c>
      <c r="AW636" s="3" t="s">
        <v>8142</v>
      </c>
      <c r="AX636" s="3" t="s">
        <v>8142</v>
      </c>
      <c r="AY636" s="3" t="s">
        <v>8143</v>
      </c>
      <c r="AZ636" s="3" t="s">
        <v>75</v>
      </c>
      <c r="BB636" s="3" t="s">
        <v>8144</v>
      </c>
      <c r="BC636" s="3" t="s">
        <v>8145</v>
      </c>
      <c r="BD636" s="3" t="s">
        <v>8146</v>
      </c>
    </row>
    <row r="637" spans="1:56" ht="39" customHeight="1" x14ac:dyDescent="0.25">
      <c r="A637" s="7" t="s">
        <v>58</v>
      </c>
      <c r="B637" s="2" t="s">
        <v>8147</v>
      </c>
      <c r="C637" s="2" t="s">
        <v>8148</v>
      </c>
      <c r="D637" s="2" t="s">
        <v>8149</v>
      </c>
      <c r="F637" s="3" t="s">
        <v>58</v>
      </c>
      <c r="G637" s="3" t="s">
        <v>59</v>
      </c>
      <c r="H637" s="3" t="s">
        <v>58</v>
      </c>
      <c r="I637" s="3" t="s">
        <v>58</v>
      </c>
      <c r="J637" s="3" t="s">
        <v>60</v>
      </c>
      <c r="K637" s="2" t="s">
        <v>8150</v>
      </c>
      <c r="L637" s="2" t="s">
        <v>8151</v>
      </c>
      <c r="M637" s="3" t="s">
        <v>185</v>
      </c>
      <c r="O637" s="3" t="s">
        <v>65</v>
      </c>
      <c r="P637" s="3" t="s">
        <v>967</v>
      </c>
      <c r="R637" s="3" t="s">
        <v>68</v>
      </c>
      <c r="S637" s="4">
        <v>1</v>
      </c>
      <c r="T637" s="4">
        <v>1</v>
      </c>
      <c r="U637" s="5" t="s">
        <v>187</v>
      </c>
      <c r="V637" s="5" t="s">
        <v>187</v>
      </c>
      <c r="W637" s="5" t="s">
        <v>188</v>
      </c>
      <c r="X637" s="5" t="s">
        <v>188</v>
      </c>
      <c r="Y637" s="4">
        <v>139</v>
      </c>
      <c r="Z637" s="4">
        <v>126</v>
      </c>
      <c r="AA637" s="4">
        <v>143</v>
      </c>
      <c r="AB637" s="4">
        <v>2</v>
      </c>
      <c r="AC637" s="4">
        <v>2</v>
      </c>
      <c r="AD637" s="4">
        <v>4</v>
      </c>
      <c r="AE637" s="4">
        <v>4</v>
      </c>
      <c r="AF637" s="4">
        <v>1</v>
      </c>
      <c r="AG637" s="4">
        <v>1</v>
      </c>
      <c r="AH637" s="4">
        <v>0</v>
      </c>
      <c r="AI637" s="4">
        <v>0</v>
      </c>
      <c r="AJ637" s="4">
        <v>2</v>
      </c>
      <c r="AK637" s="4">
        <v>2</v>
      </c>
      <c r="AL637" s="4">
        <v>1</v>
      </c>
      <c r="AM637" s="4">
        <v>1</v>
      </c>
      <c r="AN637" s="4">
        <v>0</v>
      </c>
      <c r="AO637" s="4">
        <v>0</v>
      </c>
      <c r="AP637" s="3" t="s">
        <v>58</v>
      </c>
      <c r="AQ637" s="3" t="s">
        <v>58</v>
      </c>
      <c r="AS637" s="6" t="str">
        <f>HYPERLINK("https://creighton-primo.hosted.exlibrisgroup.com/primo-explore/search?tab=default_tab&amp;search_scope=EVERYTHING&amp;vid=01CRU&amp;lang=en_US&amp;offset=0&amp;query=any,contains,991003577609702656","Catalog Record")</f>
        <v>Catalog Record</v>
      </c>
      <c r="AT637" s="6" t="str">
        <f>HYPERLINK("http://www.worldcat.org/oclc/43786274","WorldCat Record")</f>
        <v>WorldCat Record</v>
      </c>
      <c r="AU637" s="3" t="s">
        <v>8152</v>
      </c>
      <c r="AV637" s="3" t="s">
        <v>8153</v>
      </c>
      <c r="AW637" s="3" t="s">
        <v>8154</v>
      </c>
      <c r="AX637" s="3" t="s">
        <v>8154</v>
      </c>
      <c r="AY637" s="3" t="s">
        <v>8155</v>
      </c>
      <c r="AZ637" s="3" t="s">
        <v>75</v>
      </c>
      <c r="BB637" s="3" t="s">
        <v>8156</v>
      </c>
      <c r="BC637" s="3" t="s">
        <v>8157</v>
      </c>
      <c r="BD637" s="3" t="s">
        <v>8158</v>
      </c>
    </row>
    <row r="638" spans="1:56" ht="39" customHeight="1" x14ac:dyDescent="0.25">
      <c r="A638" s="7" t="s">
        <v>58</v>
      </c>
      <c r="B638" s="2" t="s">
        <v>8159</v>
      </c>
      <c r="C638" s="2" t="s">
        <v>8160</v>
      </c>
      <c r="D638" s="2" t="s">
        <v>8161</v>
      </c>
      <c r="F638" s="3" t="s">
        <v>58</v>
      </c>
      <c r="G638" s="3" t="s">
        <v>59</v>
      </c>
      <c r="H638" s="3" t="s">
        <v>58</v>
      </c>
      <c r="I638" s="3" t="s">
        <v>58</v>
      </c>
      <c r="J638" s="3" t="s">
        <v>60</v>
      </c>
      <c r="K638" s="2" t="s">
        <v>8162</v>
      </c>
      <c r="L638" s="2" t="s">
        <v>8163</v>
      </c>
      <c r="M638" s="3" t="s">
        <v>185</v>
      </c>
      <c r="O638" s="3" t="s">
        <v>65</v>
      </c>
      <c r="P638" s="3" t="s">
        <v>158</v>
      </c>
      <c r="R638" s="3" t="s">
        <v>68</v>
      </c>
      <c r="S638" s="4">
        <v>3</v>
      </c>
      <c r="T638" s="4">
        <v>3</v>
      </c>
      <c r="U638" s="5" t="s">
        <v>7619</v>
      </c>
      <c r="V638" s="5" t="s">
        <v>7619</v>
      </c>
      <c r="W638" s="5" t="s">
        <v>8164</v>
      </c>
      <c r="X638" s="5" t="s">
        <v>8164</v>
      </c>
      <c r="Y638" s="4">
        <v>243</v>
      </c>
      <c r="Z638" s="4">
        <v>226</v>
      </c>
      <c r="AA638" s="4">
        <v>300</v>
      </c>
      <c r="AB638" s="4">
        <v>3</v>
      </c>
      <c r="AC638" s="4">
        <v>3</v>
      </c>
      <c r="AD638" s="4">
        <v>2</v>
      </c>
      <c r="AE638" s="4">
        <v>6</v>
      </c>
      <c r="AF638" s="4">
        <v>2</v>
      </c>
      <c r="AG638" s="4">
        <v>6</v>
      </c>
      <c r="AH638" s="4">
        <v>0</v>
      </c>
      <c r="AI638" s="4">
        <v>1</v>
      </c>
      <c r="AJ638" s="4">
        <v>0</v>
      </c>
      <c r="AK638" s="4">
        <v>2</v>
      </c>
      <c r="AL638" s="4">
        <v>0</v>
      </c>
      <c r="AM638" s="4">
        <v>0</v>
      </c>
      <c r="AN638" s="4">
        <v>0</v>
      </c>
      <c r="AO638" s="4">
        <v>0</v>
      </c>
      <c r="AP638" s="3" t="s">
        <v>58</v>
      </c>
      <c r="AQ638" s="3" t="s">
        <v>58</v>
      </c>
      <c r="AS638" s="6" t="str">
        <f>HYPERLINK("https://creighton-primo.hosted.exlibrisgroup.com/primo-explore/search?tab=default_tab&amp;search_scope=EVERYTHING&amp;vid=01CRU&amp;lang=en_US&amp;offset=0&amp;query=any,contains,991004794449702656","Catalog Record")</f>
        <v>Catalog Record</v>
      </c>
      <c r="AT638" s="6" t="str">
        <f>HYPERLINK("http://www.worldcat.org/oclc/43811242","WorldCat Record")</f>
        <v>WorldCat Record</v>
      </c>
      <c r="AU638" s="3" t="s">
        <v>8165</v>
      </c>
      <c r="AV638" s="3" t="s">
        <v>8166</v>
      </c>
      <c r="AW638" s="3" t="s">
        <v>8167</v>
      </c>
      <c r="AX638" s="3" t="s">
        <v>8167</v>
      </c>
      <c r="AY638" s="3" t="s">
        <v>8168</v>
      </c>
      <c r="AZ638" s="3" t="s">
        <v>75</v>
      </c>
      <c r="BB638" s="3" t="s">
        <v>8169</v>
      </c>
      <c r="BC638" s="3" t="s">
        <v>8170</v>
      </c>
      <c r="BD638" s="3" t="s">
        <v>8171</v>
      </c>
    </row>
    <row r="639" spans="1:56" ht="39" customHeight="1" x14ac:dyDescent="0.25">
      <c r="A639" s="7" t="s">
        <v>58</v>
      </c>
      <c r="B639" s="2" t="s">
        <v>8172</v>
      </c>
      <c r="C639" s="2" t="s">
        <v>8173</v>
      </c>
      <c r="D639" s="2" t="s">
        <v>8174</v>
      </c>
      <c r="F639" s="3" t="s">
        <v>58</v>
      </c>
      <c r="G639" s="3" t="s">
        <v>59</v>
      </c>
      <c r="H639" s="3" t="s">
        <v>58</v>
      </c>
      <c r="I639" s="3" t="s">
        <v>58</v>
      </c>
      <c r="J639" s="3" t="s">
        <v>60</v>
      </c>
      <c r="K639" s="2" t="s">
        <v>8175</v>
      </c>
      <c r="L639" s="2" t="s">
        <v>8176</v>
      </c>
      <c r="M639" s="3" t="s">
        <v>1150</v>
      </c>
      <c r="O639" s="3" t="s">
        <v>65</v>
      </c>
      <c r="P639" s="3" t="s">
        <v>967</v>
      </c>
      <c r="R639" s="3" t="s">
        <v>68</v>
      </c>
      <c r="S639" s="4">
        <v>1</v>
      </c>
      <c r="T639" s="4">
        <v>1</v>
      </c>
      <c r="U639" s="5" t="s">
        <v>7557</v>
      </c>
      <c r="V639" s="5" t="s">
        <v>7557</v>
      </c>
      <c r="W639" s="5" t="s">
        <v>7557</v>
      </c>
      <c r="X639" s="5" t="s">
        <v>7557</v>
      </c>
      <c r="Y639" s="4">
        <v>253</v>
      </c>
      <c r="Z639" s="4">
        <v>225</v>
      </c>
      <c r="AA639" s="4">
        <v>276</v>
      </c>
      <c r="AB639" s="4">
        <v>3</v>
      </c>
      <c r="AC639" s="4">
        <v>3</v>
      </c>
      <c r="AD639" s="4">
        <v>8</v>
      </c>
      <c r="AE639" s="4">
        <v>10</v>
      </c>
      <c r="AF639" s="4">
        <v>4</v>
      </c>
      <c r="AG639" s="4">
        <v>5</v>
      </c>
      <c r="AH639" s="4">
        <v>0</v>
      </c>
      <c r="AI639" s="4">
        <v>1</v>
      </c>
      <c r="AJ639" s="4">
        <v>3</v>
      </c>
      <c r="AK639" s="4">
        <v>4</v>
      </c>
      <c r="AL639" s="4">
        <v>1</v>
      </c>
      <c r="AM639" s="4">
        <v>1</v>
      </c>
      <c r="AN639" s="4">
        <v>0</v>
      </c>
      <c r="AO639" s="4">
        <v>0</v>
      </c>
      <c r="AP639" s="3" t="s">
        <v>58</v>
      </c>
      <c r="AQ639" s="3" t="s">
        <v>58</v>
      </c>
      <c r="AS639" s="6" t="str">
        <f>HYPERLINK("https://creighton-primo.hosted.exlibrisgroup.com/primo-explore/search?tab=default_tab&amp;search_scope=EVERYTHING&amp;vid=01CRU&amp;lang=en_US&amp;offset=0&amp;query=any,contains,991004517429702656","Catalog Record")</f>
        <v>Catalog Record</v>
      </c>
      <c r="AT639" s="6" t="str">
        <f>HYPERLINK("http://www.worldcat.org/oclc/35292988","WorldCat Record")</f>
        <v>WorldCat Record</v>
      </c>
      <c r="AU639" s="3" t="s">
        <v>8177</v>
      </c>
      <c r="AV639" s="3" t="s">
        <v>8178</v>
      </c>
      <c r="AW639" s="3" t="s">
        <v>8179</v>
      </c>
      <c r="AX639" s="3" t="s">
        <v>8179</v>
      </c>
      <c r="AY639" s="3" t="s">
        <v>8180</v>
      </c>
      <c r="AZ639" s="3" t="s">
        <v>75</v>
      </c>
      <c r="BB639" s="3" t="s">
        <v>8181</v>
      </c>
      <c r="BC639" s="3" t="s">
        <v>8182</v>
      </c>
      <c r="BD639" s="3" t="s">
        <v>8183</v>
      </c>
    </row>
    <row r="640" spans="1:56" ht="39" customHeight="1" x14ac:dyDescent="0.25">
      <c r="A640" s="7" t="s">
        <v>58</v>
      </c>
      <c r="B640" s="2" t="s">
        <v>8184</v>
      </c>
      <c r="C640" s="2" t="s">
        <v>8185</v>
      </c>
      <c r="D640" s="2" t="s">
        <v>8186</v>
      </c>
      <c r="F640" s="3" t="s">
        <v>58</v>
      </c>
      <c r="G640" s="3" t="s">
        <v>59</v>
      </c>
      <c r="H640" s="3" t="s">
        <v>58</v>
      </c>
      <c r="I640" s="3" t="s">
        <v>58</v>
      </c>
      <c r="J640" s="3" t="s">
        <v>60</v>
      </c>
      <c r="K640" s="2" t="s">
        <v>8187</v>
      </c>
      <c r="L640" s="2" t="s">
        <v>3342</v>
      </c>
      <c r="M640" s="3" t="s">
        <v>655</v>
      </c>
      <c r="O640" s="3" t="s">
        <v>65</v>
      </c>
      <c r="P640" s="3" t="s">
        <v>186</v>
      </c>
      <c r="R640" s="3" t="s">
        <v>68</v>
      </c>
      <c r="S640" s="4">
        <v>5</v>
      </c>
      <c r="T640" s="4">
        <v>5</v>
      </c>
      <c r="U640" s="5" t="s">
        <v>8188</v>
      </c>
      <c r="V640" s="5" t="s">
        <v>8188</v>
      </c>
      <c r="W640" s="5" t="s">
        <v>7849</v>
      </c>
      <c r="X640" s="5" t="s">
        <v>7849</v>
      </c>
      <c r="Y640" s="4">
        <v>172</v>
      </c>
      <c r="Z640" s="4">
        <v>135</v>
      </c>
      <c r="AA640" s="4">
        <v>136</v>
      </c>
      <c r="AB640" s="4">
        <v>3</v>
      </c>
      <c r="AC640" s="4">
        <v>3</v>
      </c>
      <c r="AD640" s="4">
        <v>21</v>
      </c>
      <c r="AE640" s="4">
        <v>21</v>
      </c>
      <c r="AF640" s="4">
        <v>8</v>
      </c>
      <c r="AG640" s="4">
        <v>8</v>
      </c>
      <c r="AH640" s="4">
        <v>4</v>
      </c>
      <c r="AI640" s="4">
        <v>4</v>
      </c>
      <c r="AJ640" s="4">
        <v>14</v>
      </c>
      <c r="AK640" s="4">
        <v>14</v>
      </c>
      <c r="AL640" s="4">
        <v>2</v>
      </c>
      <c r="AM640" s="4">
        <v>2</v>
      </c>
      <c r="AN640" s="4">
        <v>0</v>
      </c>
      <c r="AO640" s="4">
        <v>0</v>
      </c>
      <c r="AP640" s="3" t="s">
        <v>58</v>
      </c>
      <c r="AQ640" s="3" t="s">
        <v>132</v>
      </c>
      <c r="AR640" s="6" t="str">
        <f>HYPERLINK("http://catalog.hathitrust.org/Record/006019414","HathiTrust Record")</f>
        <v>HathiTrust Record</v>
      </c>
      <c r="AS640" s="6" t="str">
        <f>HYPERLINK("https://creighton-primo.hosted.exlibrisgroup.com/primo-explore/search?tab=default_tab&amp;search_scope=EVERYTHING&amp;vid=01CRU&amp;lang=en_US&amp;offset=0&amp;query=any,contains,991003230059702656","Catalog Record")</f>
        <v>Catalog Record</v>
      </c>
      <c r="AT640" s="6" t="str">
        <f>HYPERLINK("http://www.worldcat.org/oclc/754646","WorldCat Record")</f>
        <v>WorldCat Record</v>
      </c>
      <c r="AU640" s="3" t="s">
        <v>8189</v>
      </c>
      <c r="AV640" s="3" t="s">
        <v>8190</v>
      </c>
      <c r="AW640" s="3" t="s">
        <v>8191</v>
      </c>
      <c r="AX640" s="3" t="s">
        <v>8191</v>
      </c>
      <c r="AY640" s="3" t="s">
        <v>8192</v>
      </c>
      <c r="AZ640" s="3" t="s">
        <v>75</v>
      </c>
      <c r="BB640" s="3" t="s">
        <v>8193</v>
      </c>
      <c r="BC640" s="3" t="s">
        <v>8194</v>
      </c>
      <c r="BD640" s="3" t="s">
        <v>8195</v>
      </c>
    </row>
    <row r="641" spans="1:56" ht="39" customHeight="1" x14ac:dyDescent="0.25">
      <c r="A641" s="7" t="s">
        <v>58</v>
      </c>
      <c r="B641" s="2" t="s">
        <v>8196</v>
      </c>
      <c r="C641" s="2" t="s">
        <v>8197</v>
      </c>
      <c r="D641" s="2" t="s">
        <v>8198</v>
      </c>
      <c r="F641" s="3" t="s">
        <v>58</v>
      </c>
      <c r="G641" s="3" t="s">
        <v>59</v>
      </c>
      <c r="H641" s="3" t="s">
        <v>58</v>
      </c>
      <c r="I641" s="3" t="s">
        <v>58</v>
      </c>
      <c r="J641" s="3" t="s">
        <v>60</v>
      </c>
      <c r="K641" s="2" t="s">
        <v>991</v>
      </c>
      <c r="L641" s="2" t="s">
        <v>8199</v>
      </c>
      <c r="M641" s="3" t="s">
        <v>157</v>
      </c>
      <c r="O641" s="3" t="s">
        <v>65</v>
      </c>
      <c r="P641" s="3" t="s">
        <v>186</v>
      </c>
      <c r="R641" s="3" t="s">
        <v>68</v>
      </c>
      <c r="S641" s="4">
        <v>4</v>
      </c>
      <c r="T641" s="4">
        <v>4</v>
      </c>
      <c r="U641" s="5" t="s">
        <v>4723</v>
      </c>
      <c r="V641" s="5" t="s">
        <v>4723</v>
      </c>
      <c r="W641" s="5" t="s">
        <v>7849</v>
      </c>
      <c r="X641" s="5" t="s">
        <v>7849</v>
      </c>
      <c r="Y641" s="4">
        <v>288</v>
      </c>
      <c r="Z641" s="4">
        <v>249</v>
      </c>
      <c r="AA641" s="4">
        <v>260</v>
      </c>
      <c r="AB641" s="4">
        <v>2</v>
      </c>
      <c r="AC641" s="4">
        <v>2</v>
      </c>
      <c r="AD641" s="4">
        <v>22</v>
      </c>
      <c r="AE641" s="4">
        <v>24</v>
      </c>
      <c r="AF641" s="4">
        <v>5</v>
      </c>
      <c r="AG641" s="4">
        <v>7</v>
      </c>
      <c r="AH641" s="4">
        <v>6</v>
      </c>
      <c r="AI641" s="4">
        <v>6</v>
      </c>
      <c r="AJ641" s="4">
        <v>16</v>
      </c>
      <c r="AK641" s="4">
        <v>16</v>
      </c>
      <c r="AL641" s="4">
        <v>1</v>
      </c>
      <c r="AM641" s="4">
        <v>1</v>
      </c>
      <c r="AN641" s="4">
        <v>0</v>
      </c>
      <c r="AO641" s="4">
        <v>0</v>
      </c>
      <c r="AP641" s="3" t="s">
        <v>58</v>
      </c>
      <c r="AQ641" s="3" t="s">
        <v>58</v>
      </c>
      <c r="AS641" s="6" t="str">
        <f>HYPERLINK("https://creighton-primo.hosted.exlibrisgroup.com/primo-explore/search?tab=default_tab&amp;search_scope=EVERYTHING&amp;vid=01CRU&amp;lang=en_US&amp;offset=0&amp;query=any,contains,991005172739702656","Catalog Record")</f>
        <v>Catalog Record</v>
      </c>
      <c r="AT641" s="6" t="str">
        <f>HYPERLINK("http://www.worldcat.org/oclc/7876390","WorldCat Record")</f>
        <v>WorldCat Record</v>
      </c>
      <c r="AU641" s="3" t="s">
        <v>8200</v>
      </c>
      <c r="AV641" s="3" t="s">
        <v>8201</v>
      </c>
      <c r="AW641" s="3" t="s">
        <v>8202</v>
      </c>
      <c r="AX641" s="3" t="s">
        <v>8202</v>
      </c>
      <c r="AY641" s="3" t="s">
        <v>8203</v>
      </c>
      <c r="AZ641" s="3" t="s">
        <v>75</v>
      </c>
      <c r="BB641" s="3" t="s">
        <v>8204</v>
      </c>
      <c r="BC641" s="3" t="s">
        <v>8205</v>
      </c>
      <c r="BD641" s="3" t="s">
        <v>8206</v>
      </c>
    </row>
    <row r="642" spans="1:56" ht="39" customHeight="1" x14ac:dyDescent="0.25">
      <c r="A642" s="7" t="s">
        <v>58</v>
      </c>
      <c r="B642" s="2" t="s">
        <v>8207</v>
      </c>
      <c r="C642" s="2" t="s">
        <v>8208</v>
      </c>
      <c r="D642" s="2" t="s">
        <v>8209</v>
      </c>
      <c r="F642" s="3" t="s">
        <v>58</v>
      </c>
      <c r="G642" s="3" t="s">
        <v>59</v>
      </c>
      <c r="H642" s="3" t="s">
        <v>58</v>
      </c>
      <c r="I642" s="3" t="s">
        <v>58</v>
      </c>
      <c r="J642" s="3" t="s">
        <v>60</v>
      </c>
      <c r="K642" s="2" t="s">
        <v>8210</v>
      </c>
      <c r="L642" s="2" t="s">
        <v>8211</v>
      </c>
      <c r="M642" s="3" t="s">
        <v>389</v>
      </c>
      <c r="O642" s="3" t="s">
        <v>65</v>
      </c>
      <c r="P642" s="3" t="s">
        <v>967</v>
      </c>
      <c r="R642" s="3" t="s">
        <v>68</v>
      </c>
      <c r="S642" s="4">
        <v>1</v>
      </c>
      <c r="T642" s="4">
        <v>1</v>
      </c>
      <c r="U642" s="5" t="s">
        <v>8212</v>
      </c>
      <c r="V642" s="5" t="s">
        <v>8212</v>
      </c>
      <c r="W642" s="5" t="s">
        <v>7849</v>
      </c>
      <c r="X642" s="5" t="s">
        <v>7849</v>
      </c>
      <c r="Y642" s="4">
        <v>301</v>
      </c>
      <c r="Z642" s="4">
        <v>280</v>
      </c>
      <c r="AA642" s="4">
        <v>282</v>
      </c>
      <c r="AB642" s="4">
        <v>2</v>
      </c>
      <c r="AC642" s="4">
        <v>2</v>
      </c>
      <c r="AD642" s="4">
        <v>12</v>
      </c>
      <c r="AE642" s="4">
        <v>12</v>
      </c>
      <c r="AF642" s="4">
        <v>6</v>
      </c>
      <c r="AG642" s="4">
        <v>6</v>
      </c>
      <c r="AH642" s="4">
        <v>2</v>
      </c>
      <c r="AI642" s="4">
        <v>2</v>
      </c>
      <c r="AJ642" s="4">
        <v>6</v>
      </c>
      <c r="AK642" s="4">
        <v>6</v>
      </c>
      <c r="AL642" s="4">
        <v>1</v>
      </c>
      <c r="AM642" s="4">
        <v>1</v>
      </c>
      <c r="AN642" s="4">
        <v>0</v>
      </c>
      <c r="AO642" s="4">
        <v>0</v>
      </c>
      <c r="AP642" s="3" t="s">
        <v>58</v>
      </c>
      <c r="AQ642" s="3" t="s">
        <v>132</v>
      </c>
      <c r="AR642" s="6" t="str">
        <f>HYPERLINK("http://catalog.hathitrust.org/Record/009814935","HathiTrust Record")</f>
        <v>HathiTrust Record</v>
      </c>
      <c r="AS642" s="6" t="str">
        <f>HYPERLINK("https://creighton-primo.hosted.exlibrisgroup.com/primo-explore/search?tab=default_tab&amp;search_scope=EVERYTHING&amp;vid=01CRU&amp;lang=en_US&amp;offset=0&amp;query=any,contains,991000169469702656","Catalog Record")</f>
        <v>Catalog Record</v>
      </c>
      <c r="AT642" s="6" t="str">
        <f>HYPERLINK("http://www.worldcat.org/oclc/61911","WorldCat Record")</f>
        <v>WorldCat Record</v>
      </c>
      <c r="AU642" s="3" t="s">
        <v>8213</v>
      </c>
      <c r="AV642" s="3" t="s">
        <v>8214</v>
      </c>
      <c r="AW642" s="3" t="s">
        <v>8215</v>
      </c>
      <c r="AX642" s="3" t="s">
        <v>8215</v>
      </c>
      <c r="AY642" s="3" t="s">
        <v>8216</v>
      </c>
      <c r="AZ642" s="3" t="s">
        <v>75</v>
      </c>
      <c r="BC642" s="3" t="s">
        <v>8217</v>
      </c>
      <c r="BD642" s="3" t="s">
        <v>8218</v>
      </c>
    </row>
    <row r="643" spans="1:56" ht="39" customHeight="1" x14ac:dyDescent="0.25">
      <c r="A643" s="7" t="s">
        <v>58</v>
      </c>
      <c r="B643" s="2" t="s">
        <v>8219</v>
      </c>
      <c r="C643" s="2" t="s">
        <v>8220</v>
      </c>
      <c r="D643" s="2" t="s">
        <v>8221</v>
      </c>
      <c r="F643" s="3" t="s">
        <v>58</v>
      </c>
      <c r="G643" s="3" t="s">
        <v>59</v>
      </c>
      <c r="H643" s="3" t="s">
        <v>58</v>
      </c>
      <c r="I643" s="3" t="s">
        <v>58</v>
      </c>
      <c r="J643" s="3" t="s">
        <v>60</v>
      </c>
      <c r="L643" s="2" t="s">
        <v>8222</v>
      </c>
      <c r="M643" s="3" t="s">
        <v>1621</v>
      </c>
      <c r="O643" s="3" t="s">
        <v>65</v>
      </c>
      <c r="P643" s="3" t="s">
        <v>186</v>
      </c>
      <c r="R643" s="3" t="s">
        <v>68</v>
      </c>
      <c r="S643" s="4">
        <v>2</v>
      </c>
      <c r="T643" s="4">
        <v>2</v>
      </c>
      <c r="U643" s="5" t="s">
        <v>8223</v>
      </c>
      <c r="V643" s="5" t="s">
        <v>8223</v>
      </c>
      <c r="W643" s="5" t="s">
        <v>8224</v>
      </c>
      <c r="X643" s="5" t="s">
        <v>8224</v>
      </c>
      <c r="Y643" s="4">
        <v>136</v>
      </c>
      <c r="Z643" s="4">
        <v>127</v>
      </c>
      <c r="AA643" s="4">
        <v>142</v>
      </c>
      <c r="AB643" s="4">
        <v>3</v>
      </c>
      <c r="AC643" s="4">
        <v>3</v>
      </c>
      <c r="AD643" s="4">
        <v>16</v>
      </c>
      <c r="AE643" s="4">
        <v>16</v>
      </c>
      <c r="AF643" s="4">
        <v>5</v>
      </c>
      <c r="AG643" s="4">
        <v>5</v>
      </c>
      <c r="AH643" s="4">
        <v>4</v>
      </c>
      <c r="AI643" s="4">
        <v>4</v>
      </c>
      <c r="AJ643" s="4">
        <v>12</v>
      </c>
      <c r="AK643" s="4">
        <v>12</v>
      </c>
      <c r="AL643" s="4">
        <v>1</v>
      </c>
      <c r="AM643" s="4">
        <v>1</v>
      </c>
      <c r="AN643" s="4">
        <v>0</v>
      </c>
      <c r="AO643" s="4">
        <v>0</v>
      </c>
      <c r="AP643" s="3" t="s">
        <v>58</v>
      </c>
      <c r="AQ643" s="3" t="s">
        <v>132</v>
      </c>
      <c r="AR643" s="6" t="str">
        <f>HYPERLINK("http://catalog.hathitrust.org/Record/006019415","HathiTrust Record")</f>
        <v>HathiTrust Record</v>
      </c>
      <c r="AS643" s="6" t="str">
        <f>HYPERLINK("https://creighton-primo.hosted.exlibrisgroup.com/primo-explore/search?tab=default_tab&amp;search_scope=EVERYTHING&amp;vid=01CRU&amp;lang=en_US&amp;offset=0&amp;query=any,contains,991003264449702656","Catalog Record")</f>
        <v>Catalog Record</v>
      </c>
      <c r="AT643" s="6" t="str">
        <f>HYPERLINK("http://www.worldcat.org/oclc/790271","WorldCat Record")</f>
        <v>WorldCat Record</v>
      </c>
      <c r="AU643" s="3" t="s">
        <v>8225</v>
      </c>
      <c r="AV643" s="3" t="s">
        <v>8226</v>
      </c>
      <c r="AW643" s="3" t="s">
        <v>8227</v>
      </c>
      <c r="AX643" s="3" t="s">
        <v>8227</v>
      </c>
      <c r="AY643" s="3" t="s">
        <v>8228</v>
      </c>
      <c r="AZ643" s="3" t="s">
        <v>75</v>
      </c>
      <c r="BB643" s="3" t="s">
        <v>8229</v>
      </c>
      <c r="BC643" s="3" t="s">
        <v>8230</v>
      </c>
      <c r="BD643" s="3" t="s">
        <v>8231</v>
      </c>
    </row>
    <row r="644" spans="1:56" ht="39" customHeight="1" x14ac:dyDescent="0.25">
      <c r="A644" s="7" t="s">
        <v>58</v>
      </c>
      <c r="B644" s="2" t="s">
        <v>8232</v>
      </c>
      <c r="C644" s="2" t="s">
        <v>8233</v>
      </c>
      <c r="D644" s="2" t="s">
        <v>8234</v>
      </c>
      <c r="F644" s="3" t="s">
        <v>58</v>
      </c>
      <c r="G644" s="3" t="s">
        <v>59</v>
      </c>
      <c r="H644" s="3" t="s">
        <v>58</v>
      </c>
      <c r="I644" s="3" t="s">
        <v>58</v>
      </c>
      <c r="J644" s="3" t="s">
        <v>60</v>
      </c>
      <c r="K644" s="2" t="s">
        <v>8235</v>
      </c>
      <c r="L644" s="2" t="s">
        <v>8236</v>
      </c>
      <c r="M644" s="3" t="s">
        <v>1723</v>
      </c>
      <c r="O644" s="3" t="s">
        <v>65</v>
      </c>
      <c r="P644" s="3" t="s">
        <v>201</v>
      </c>
      <c r="R644" s="3" t="s">
        <v>68</v>
      </c>
      <c r="S644" s="4">
        <v>4</v>
      </c>
      <c r="T644" s="4">
        <v>4</v>
      </c>
      <c r="U644" s="5" t="s">
        <v>8237</v>
      </c>
      <c r="V644" s="5" t="s">
        <v>8237</v>
      </c>
      <c r="W644" s="5" t="s">
        <v>8238</v>
      </c>
      <c r="X644" s="5" t="s">
        <v>8238</v>
      </c>
      <c r="Y644" s="4">
        <v>162</v>
      </c>
      <c r="Z644" s="4">
        <v>142</v>
      </c>
      <c r="AA644" s="4">
        <v>147</v>
      </c>
      <c r="AB644" s="4">
        <v>2</v>
      </c>
      <c r="AC644" s="4">
        <v>2</v>
      </c>
      <c r="AD644" s="4">
        <v>11</v>
      </c>
      <c r="AE644" s="4">
        <v>11</v>
      </c>
      <c r="AF644" s="4">
        <v>4</v>
      </c>
      <c r="AG644" s="4">
        <v>4</v>
      </c>
      <c r="AH644" s="4">
        <v>2</v>
      </c>
      <c r="AI644" s="4">
        <v>2</v>
      </c>
      <c r="AJ644" s="4">
        <v>5</v>
      </c>
      <c r="AK644" s="4">
        <v>5</v>
      </c>
      <c r="AL644" s="4">
        <v>1</v>
      </c>
      <c r="AM644" s="4">
        <v>1</v>
      </c>
      <c r="AN644" s="4">
        <v>0</v>
      </c>
      <c r="AO644" s="4">
        <v>0</v>
      </c>
      <c r="AP644" s="3" t="s">
        <v>58</v>
      </c>
      <c r="AQ644" s="3" t="s">
        <v>58</v>
      </c>
      <c r="AS644" s="6" t="str">
        <f>HYPERLINK("https://creighton-primo.hosted.exlibrisgroup.com/primo-explore/search?tab=default_tab&amp;search_scope=EVERYTHING&amp;vid=01CRU&amp;lang=en_US&amp;offset=0&amp;query=any,contains,991003495419702656","Catalog Record")</f>
        <v>Catalog Record</v>
      </c>
      <c r="AT644" s="6" t="str">
        <f>HYPERLINK("http://www.worldcat.org/oclc/44268122","WorldCat Record")</f>
        <v>WorldCat Record</v>
      </c>
      <c r="AU644" s="3" t="s">
        <v>8239</v>
      </c>
      <c r="AV644" s="3" t="s">
        <v>8240</v>
      </c>
      <c r="AW644" s="3" t="s">
        <v>8241</v>
      </c>
      <c r="AX644" s="3" t="s">
        <v>8241</v>
      </c>
      <c r="AY644" s="3" t="s">
        <v>8242</v>
      </c>
      <c r="AZ644" s="3" t="s">
        <v>75</v>
      </c>
      <c r="BB644" s="3" t="s">
        <v>8243</v>
      </c>
      <c r="BC644" s="3" t="s">
        <v>8244</v>
      </c>
      <c r="BD644" s="3" t="s">
        <v>8245</v>
      </c>
    </row>
    <row r="645" spans="1:56" ht="39" customHeight="1" x14ac:dyDescent="0.25">
      <c r="A645" s="7" t="s">
        <v>58</v>
      </c>
      <c r="B645" s="2" t="s">
        <v>8246</v>
      </c>
      <c r="C645" s="2" t="s">
        <v>8247</v>
      </c>
      <c r="D645" s="2" t="s">
        <v>8248</v>
      </c>
      <c r="F645" s="3" t="s">
        <v>58</v>
      </c>
      <c r="G645" s="3" t="s">
        <v>59</v>
      </c>
      <c r="H645" s="3" t="s">
        <v>58</v>
      </c>
      <c r="I645" s="3" t="s">
        <v>58</v>
      </c>
      <c r="J645" s="3" t="s">
        <v>60</v>
      </c>
      <c r="K645" s="2" t="s">
        <v>8249</v>
      </c>
      <c r="L645" s="2" t="s">
        <v>8250</v>
      </c>
      <c r="M645" s="3" t="s">
        <v>128</v>
      </c>
      <c r="O645" s="3" t="s">
        <v>65</v>
      </c>
      <c r="P645" s="3" t="s">
        <v>186</v>
      </c>
      <c r="R645" s="3" t="s">
        <v>68</v>
      </c>
      <c r="S645" s="4">
        <v>2</v>
      </c>
      <c r="T645" s="4">
        <v>2</v>
      </c>
      <c r="U645" s="5" t="s">
        <v>8251</v>
      </c>
      <c r="V645" s="5" t="s">
        <v>8251</v>
      </c>
      <c r="W645" s="5" t="s">
        <v>8252</v>
      </c>
      <c r="X645" s="5" t="s">
        <v>8252</v>
      </c>
      <c r="Y645" s="4">
        <v>105</v>
      </c>
      <c r="Z645" s="4">
        <v>92</v>
      </c>
      <c r="AA645" s="4">
        <v>95</v>
      </c>
      <c r="AB645" s="4">
        <v>2</v>
      </c>
      <c r="AC645" s="4">
        <v>2</v>
      </c>
      <c r="AD645" s="4">
        <v>6</v>
      </c>
      <c r="AE645" s="4">
        <v>6</v>
      </c>
      <c r="AF645" s="4">
        <v>1</v>
      </c>
      <c r="AG645" s="4">
        <v>1</v>
      </c>
      <c r="AH645" s="4">
        <v>1</v>
      </c>
      <c r="AI645" s="4">
        <v>1</v>
      </c>
      <c r="AJ645" s="4">
        <v>4</v>
      </c>
      <c r="AK645" s="4">
        <v>4</v>
      </c>
      <c r="AL645" s="4">
        <v>1</v>
      </c>
      <c r="AM645" s="4">
        <v>1</v>
      </c>
      <c r="AN645" s="4">
        <v>0</v>
      </c>
      <c r="AO645" s="4">
        <v>0</v>
      </c>
      <c r="AP645" s="3" t="s">
        <v>58</v>
      </c>
      <c r="AQ645" s="3" t="s">
        <v>132</v>
      </c>
      <c r="AR645" s="6" t="str">
        <f>HYPERLINK("http://catalog.hathitrust.org/Record/007501041","HathiTrust Record")</f>
        <v>HathiTrust Record</v>
      </c>
      <c r="AS645" s="6" t="str">
        <f>HYPERLINK("https://creighton-primo.hosted.exlibrisgroup.com/primo-explore/search?tab=default_tab&amp;search_scope=EVERYTHING&amp;vid=01CRU&amp;lang=en_US&amp;offset=0&amp;query=any,contains,991004384679702656","Catalog Record")</f>
        <v>Catalog Record</v>
      </c>
      <c r="AT645" s="6" t="str">
        <f>HYPERLINK("http://www.worldcat.org/oclc/3239882","WorldCat Record")</f>
        <v>WorldCat Record</v>
      </c>
      <c r="AU645" s="3" t="s">
        <v>8253</v>
      </c>
      <c r="AV645" s="3" t="s">
        <v>8254</v>
      </c>
      <c r="AW645" s="3" t="s">
        <v>8255</v>
      </c>
      <c r="AX645" s="3" t="s">
        <v>8255</v>
      </c>
      <c r="AY645" s="3" t="s">
        <v>8256</v>
      </c>
      <c r="AZ645" s="3" t="s">
        <v>75</v>
      </c>
      <c r="BB645" s="3" t="s">
        <v>8257</v>
      </c>
      <c r="BC645" s="3" t="s">
        <v>8258</v>
      </c>
      <c r="BD645" s="3" t="s">
        <v>8259</v>
      </c>
    </row>
    <row r="646" spans="1:56" ht="39" customHeight="1" x14ac:dyDescent="0.25">
      <c r="A646" s="7" t="s">
        <v>58</v>
      </c>
      <c r="B646" s="2" t="s">
        <v>8260</v>
      </c>
      <c r="C646" s="2" t="s">
        <v>8261</v>
      </c>
      <c r="D646" s="2" t="s">
        <v>8262</v>
      </c>
      <c r="F646" s="3" t="s">
        <v>58</v>
      </c>
      <c r="G646" s="3" t="s">
        <v>59</v>
      </c>
      <c r="H646" s="3" t="s">
        <v>58</v>
      </c>
      <c r="I646" s="3" t="s">
        <v>58</v>
      </c>
      <c r="J646" s="3" t="s">
        <v>60</v>
      </c>
      <c r="K646" s="2" t="s">
        <v>8263</v>
      </c>
      <c r="L646" s="2" t="s">
        <v>3023</v>
      </c>
      <c r="M646" s="3" t="s">
        <v>781</v>
      </c>
      <c r="O646" s="3" t="s">
        <v>65</v>
      </c>
      <c r="P646" s="3" t="s">
        <v>186</v>
      </c>
      <c r="R646" s="3" t="s">
        <v>68</v>
      </c>
      <c r="S646" s="4">
        <v>4</v>
      </c>
      <c r="T646" s="4">
        <v>4</v>
      </c>
      <c r="U646" s="5" t="s">
        <v>8251</v>
      </c>
      <c r="V646" s="5" t="s">
        <v>8251</v>
      </c>
      <c r="W646" s="5" t="s">
        <v>2521</v>
      </c>
      <c r="X646" s="5" t="s">
        <v>2521</v>
      </c>
      <c r="Y646" s="4">
        <v>137</v>
      </c>
      <c r="Z646" s="4">
        <v>113</v>
      </c>
      <c r="AA646" s="4">
        <v>118</v>
      </c>
      <c r="AB646" s="4">
        <v>3</v>
      </c>
      <c r="AC646" s="4">
        <v>3</v>
      </c>
      <c r="AD646" s="4">
        <v>11</v>
      </c>
      <c r="AE646" s="4">
        <v>11</v>
      </c>
      <c r="AF646" s="4">
        <v>1</v>
      </c>
      <c r="AG646" s="4">
        <v>1</v>
      </c>
      <c r="AH646" s="4">
        <v>1</v>
      </c>
      <c r="AI646" s="4">
        <v>1</v>
      </c>
      <c r="AJ646" s="4">
        <v>8</v>
      </c>
      <c r="AK646" s="4">
        <v>8</v>
      </c>
      <c r="AL646" s="4">
        <v>1</v>
      </c>
      <c r="AM646" s="4">
        <v>1</v>
      </c>
      <c r="AN646" s="4">
        <v>0</v>
      </c>
      <c r="AO646" s="4">
        <v>0</v>
      </c>
      <c r="AP646" s="3" t="s">
        <v>58</v>
      </c>
      <c r="AQ646" s="3" t="s">
        <v>58</v>
      </c>
      <c r="AS646" s="6" t="str">
        <f>HYPERLINK("https://creighton-primo.hosted.exlibrisgroup.com/primo-explore/search?tab=default_tab&amp;search_scope=EVERYTHING&amp;vid=01CRU&amp;lang=en_US&amp;offset=0&amp;query=any,contains,991000749889702656","Catalog Record")</f>
        <v>Catalog Record</v>
      </c>
      <c r="AT646" s="6" t="str">
        <f>HYPERLINK("http://www.worldcat.org/oclc/12661318","WorldCat Record")</f>
        <v>WorldCat Record</v>
      </c>
      <c r="AU646" s="3" t="s">
        <v>8264</v>
      </c>
      <c r="AV646" s="3" t="s">
        <v>8265</v>
      </c>
      <c r="AW646" s="3" t="s">
        <v>8266</v>
      </c>
      <c r="AX646" s="3" t="s">
        <v>8266</v>
      </c>
      <c r="AY646" s="3" t="s">
        <v>8267</v>
      </c>
      <c r="AZ646" s="3" t="s">
        <v>75</v>
      </c>
      <c r="BB646" s="3" t="s">
        <v>8268</v>
      </c>
      <c r="BC646" s="3" t="s">
        <v>8269</v>
      </c>
      <c r="BD646" s="3" t="s">
        <v>8270</v>
      </c>
    </row>
    <row r="647" spans="1:56" ht="39" customHeight="1" x14ac:dyDescent="0.25">
      <c r="A647" s="7" t="s">
        <v>58</v>
      </c>
      <c r="B647" s="2" t="s">
        <v>8271</v>
      </c>
      <c r="C647" s="2" t="s">
        <v>8272</v>
      </c>
      <c r="D647" s="2" t="s">
        <v>8273</v>
      </c>
      <c r="F647" s="3" t="s">
        <v>58</v>
      </c>
      <c r="G647" s="3" t="s">
        <v>59</v>
      </c>
      <c r="H647" s="3" t="s">
        <v>58</v>
      </c>
      <c r="I647" s="3" t="s">
        <v>58</v>
      </c>
      <c r="J647" s="3" t="s">
        <v>60</v>
      </c>
      <c r="K647" s="2" t="s">
        <v>8274</v>
      </c>
      <c r="L647" s="2" t="s">
        <v>8275</v>
      </c>
      <c r="M647" s="3" t="s">
        <v>1261</v>
      </c>
      <c r="N647" s="2" t="s">
        <v>8276</v>
      </c>
      <c r="O647" s="3" t="s">
        <v>65</v>
      </c>
      <c r="P647" s="3" t="s">
        <v>186</v>
      </c>
      <c r="R647" s="3" t="s">
        <v>68</v>
      </c>
      <c r="S647" s="4">
        <v>7</v>
      </c>
      <c r="T647" s="4">
        <v>7</v>
      </c>
      <c r="U647" s="5" t="s">
        <v>8277</v>
      </c>
      <c r="V647" s="5" t="s">
        <v>8277</v>
      </c>
      <c r="W647" s="5" t="s">
        <v>6561</v>
      </c>
      <c r="X647" s="5" t="s">
        <v>6561</v>
      </c>
      <c r="Y647" s="4">
        <v>27</v>
      </c>
      <c r="Z647" s="4">
        <v>26</v>
      </c>
      <c r="AA647" s="4">
        <v>250</v>
      </c>
      <c r="AB647" s="4">
        <v>2</v>
      </c>
      <c r="AC647" s="4">
        <v>3</v>
      </c>
      <c r="AD647" s="4">
        <v>2</v>
      </c>
      <c r="AE647" s="4">
        <v>14</v>
      </c>
      <c r="AF647" s="4">
        <v>1</v>
      </c>
      <c r="AG647" s="4">
        <v>3</v>
      </c>
      <c r="AH647" s="4">
        <v>0</v>
      </c>
      <c r="AI647" s="4">
        <v>1</v>
      </c>
      <c r="AJ647" s="4">
        <v>0</v>
      </c>
      <c r="AK647" s="4">
        <v>10</v>
      </c>
      <c r="AL647" s="4">
        <v>1</v>
      </c>
      <c r="AM647" s="4">
        <v>2</v>
      </c>
      <c r="AN647" s="4">
        <v>0</v>
      </c>
      <c r="AO647" s="4">
        <v>0</v>
      </c>
      <c r="AP647" s="3" t="s">
        <v>58</v>
      </c>
      <c r="AQ647" s="3" t="s">
        <v>58</v>
      </c>
      <c r="AS647" s="6" t="str">
        <f>HYPERLINK("https://creighton-primo.hosted.exlibrisgroup.com/primo-explore/search?tab=default_tab&amp;search_scope=EVERYTHING&amp;vid=01CRU&amp;lang=en_US&amp;offset=0&amp;query=any,contains,991001586329702656","Catalog Record")</f>
        <v>Catalog Record</v>
      </c>
      <c r="AT647" s="6" t="str">
        <f>HYPERLINK("http://www.worldcat.org/oclc/20537267","WorldCat Record")</f>
        <v>WorldCat Record</v>
      </c>
      <c r="AU647" s="3" t="s">
        <v>8278</v>
      </c>
      <c r="AV647" s="3" t="s">
        <v>8279</v>
      </c>
      <c r="AW647" s="3" t="s">
        <v>8280</v>
      </c>
      <c r="AX647" s="3" t="s">
        <v>8280</v>
      </c>
      <c r="AY647" s="3" t="s">
        <v>8281</v>
      </c>
      <c r="AZ647" s="3" t="s">
        <v>75</v>
      </c>
      <c r="BB647" s="3" t="s">
        <v>8282</v>
      </c>
      <c r="BC647" s="3" t="s">
        <v>8283</v>
      </c>
      <c r="BD647" s="3" t="s">
        <v>8284</v>
      </c>
    </row>
    <row r="648" spans="1:56" ht="39" customHeight="1" x14ac:dyDescent="0.25">
      <c r="A648" s="7" t="s">
        <v>58</v>
      </c>
      <c r="B648" s="2" t="s">
        <v>8285</v>
      </c>
      <c r="C648" s="2" t="s">
        <v>8286</v>
      </c>
      <c r="D648" s="2" t="s">
        <v>8287</v>
      </c>
      <c r="F648" s="3" t="s">
        <v>58</v>
      </c>
      <c r="G648" s="3" t="s">
        <v>59</v>
      </c>
      <c r="H648" s="3" t="s">
        <v>58</v>
      </c>
      <c r="I648" s="3" t="s">
        <v>58</v>
      </c>
      <c r="J648" s="3" t="s">
        <v>60</v>
      </c>
      <c r="K648" s="2" t="s">
        <v>8288</v>
      </c>
      <c r="L648" s="2" t="s">
        <v>8289</v>
      </c>
      <c r="M648" s="3" t="s">
        <v>3656</v>
      </c>
      <c r="O648" s="3" t="s">
        <v>65</v>
      </c>
      <c r="P648" s="3" t="s">
        <v>158</v>
      </c>
      <c r="R648" s="3" t="s">
        <v>68</v>
      </c>
      <c r="S648" s="4">
        <v>6</v>
      </c>
      <c r="T648" s="4">
        <v>6</v>
      </c>
      <c r="U648" s="5" t="s">
        <v>8290</v>
      </c>
      <c r="V648" s="5" t="s">
        <v>8290</v>
      </c>
      <c r="W648" s="5" t="s">
        <v>8291</v>
      </c>
      <c r="X648" s="5" t="s">
        <v>8291</v>
      </c>
      <c r="Y648" s="4">
        <v>86</v>
      </c>
      <c r="Z648" s="4">
        <v>80</v>
      </c>
      <c r="AA648" s="4">
        <v>99</v>
      </c>
      <c r="AB648" s="4">
        <v>2</v>
      </c>
      <c r="AC648" s="4">
        <v>2</v>
      </c>
      <c r="AD648" s="4">
        <v>4</v>
      </c>
      <c r="AE648" s="4">
        <v>4</v>
      </c>
      <c r="AF648" s="4">
        <v>2</v>
      </c>
      <c r="AG648" s="4">
        <v>2</v>
      </c>
      <c r="AH648" s="4">
        <v>0</v>
      </c>
      <c r="AI648" s="4">
        <v>0</v>
      </c>
      <c r="AJ648" s="4">
        <v>1</v>
      </c>
      <c r="AK648" s="4">
        <v>1</v>
      </c>
      <c r="AL648" s="4">
        <v>1</v>
      </c>
      <c r="AM648" s="4">
        <v>1</v>
      </c>
      <c r="AN648" s="4">
        <v>0</v>
      </c>
      <c r="AO648" s="4">
        <v>0</v>
      </c>
      <c r="AP648" s="3" t="s">
        <v>58</v>
      </c>
      <c r="AQ648" s="3" t="s">
        <v>58</v>
      </c>
      <c r="AS648" s="6" t="str">
        <f>HYPERLINK("https://creighton-primo.hosted.exlibrisgroup.com/primo-explore/search?tab=default_tab&amp;search_scope=EVERYTHING&amp;vid=01CRU&amp;lang=en_US&amp;offset=0&amp;query=any,contains,991002746499702656","Catalog Record")</f>
        <v>Catalog Record</v>
      </c>
      <c r="AT648" s="6" t="str">
        <f>HYPERLINK("http://www.worldcat.org/oclc/36042312","WorldCat Record")</f>
        <v>WorldCat Record</v>
      </c>
      <c r="AU648" s="3" t="s">
        <v>8292</v>
      </c>
      <c r="AV648" s="3" t="s">
        <v>8293</v>
      </c>
      <c r="AW648" s="3" t="s">
        <v>8294</v>
      </c>
      <c r="AX648" s="3" t="s">
        <v>8294</v>
      </c>
      <c r="AY648" s="3" t="s">
        <v>8295</v>
      </c>
      <c r="AZ648" s="3" t="s">
        <v>75</v>
      </c>
      <c r="BB648" s="3" t="s">
        <v>8296</v>
      </c>
      <c r="BC648" s="3" t="s">
        <v>8297</v>
      </c>
      <c r="BD648" s="3" t="s">
        <v>8298</v>
      </c>
    </row>
    <row r="649" spans="1:56" ht="39" customHeight="1" x14ac:dyDescent="0.25">
      <c r="A649" s="7" t="s">
        <v>58</v>
      </c>
      <c r="B649" s="2" t="s">
        <v>8299</v>
      </c>
      <c r="C649" s="2" t="s">
        <v>8300</v>
      </c>
      <c r="D649" s="2" t="s">
        <v>8301</v>
      </c>
      <c r="F649" s="3" t="s">
        <v>58</v>
      </c>
      <c r="G649" s="3" t="s">
        <v>59</v>
      </c>
      <c r="H649" s="3" t="s">
        <v>58</v>
      </c>
      <c r="I649" s="3" t="s">
        <v>58</v>
      </c>
      <c r="J649" s="3" t="s">
        <v>60</v>
      </c>
      <c r="K649" s="2" t="s">
        <v>8288</v>
      </c>
      <c r="L649" s="2" t="s">
        <v>8302</v>
      </c>
      <c r="M649" s="3" t="s">
        <v>273</v>
      </c>
      <c r="O649" s="3" t="s">
        <v>65</v>
      </c>
      <c r="P649" s="3" t="s">
        <v>158</v>
      </c>
      <c r="R649" s="3" t="s">
        <v>68</v>
      </c>
      <c r="S649" s="4">
        <v>3</v>
      </c>
      <c r="T649" s="4">
        <v>3</v>
      </c>
      <c r="U649" s="5" t="s">
        <v>8303</v>
      </c>
      <c r="V649" s="5" t="s">
        <v>8303</v>
      </c>
      <c r="W649" s="5" t="s">
        <v>8291</v>
      </c>
      <c r="X649" s="5" t="s">
        <v>8291</v>
      </c>
      <c r="Y649" s="4">
        <v>197</v>
      </c>
      <c r="Z649" s="4">
        <v>176</v>
      </c>
      <c r="AA649" s="4">
        <v>316</v>
      </c>
      <c r="AB649" s="4">
        <v>4</v>
      </c>
      <c r="AC649" s="4">
        <v>6</v>
      </c>
      <c r="AD649" s="4">
        <v>4</v>
      </c>
      <c r="AE649" s="4">
        <v>8</v>
      </c>
      <c r="AF649" s="4">
        <v>1</v>
      </c>
      <c r="AG649" s="4">
        <v>3</v>
      </c>
      <c r="AH649" s="4">
        <v>0</v>
      </c>
      <c r="AI649" s="4">
        <v>0</v>
      </c>
      <c r="AJ649" s="4">
        <v>0</v>
      </c>
      <c r="AK649" s="4">
        <v>0</v>
      </c>
      <c r="AL649" s="4">
        <v>3</v>
      </c>
      <c r="AM649" s="4">
        <v>5</v>
      </c>
      <c r="AN649" s="4">
        <v>0</v>
      </c>
      <c r="AO649" s="4">
        <v>0</v>
      </c>
      <c r="AP649" s="3" t="s">
        <v>58</v>
      </c>
      <c r="AQ649" s="3" t="s">
        <v>58</v>
      </c>
      <c r="AS649" s="6" t="str">
        <f>HYPERLINK("https://creighton-primo.hosted.exlibrisgroup.com/primo-explore/search?tab=default_tab&amp;search_scope=EVERYTHING&amp;vid=01CRU&amp;lang=en_US&amp;offset=0&amp;query=any,contains,991002422919702656","Catalog Record")</f>
        <v>Catalog Record</v>
      </c>
      <c r="AT649" s="6" t="str">
        <f>HYPERLINK("http://www.worldcat.org/oclc/31605050","WorldCat Record")</f>
        <v>WorldCat Record</v>
      </c>
      <c r="AU649" s="3" t="s">
        <v>8304</v>
      </c>
      <c r="AV649" s="3" t="s">
        <v>8305</v>
      </c>
      <c r="AW649" s="3" t="s">
        <v>8306</v>
      </c>
      <c r="AX649" s="3" t="s">
        <v>8306</v>
      </c>
      <c r="AY649" s="3" t="s">
        <v>8307</v>
      </c>
      <c r="AZ649" s="3" t="s">
        <v>75</v>
      </c>
      <c r="BB649" s="3" t="s">
        <v>8308</v>
      </c>
      <c r="BC649" s="3" t="s">
        <v>8309</v>
      </c>
      <c r="BD649" s="3" t="s">
        <v>8310</v>
      </c>
    </row>
    <row r="650" spans="1:56" ht="39" customHeight="1" x14ac:dyDescent="0.25">
      <c r="A650" s="7" t="s">
        <v>58</v>
      </c>
      <c r="B650" s="2" t="s">
        <v>8311</v>
      </c>
      <c r="C650" s="2" t="s">
        <v>8312</v>
      </c>
      <c r="D650" s="2" t="s">
        <v>8313</v>
      </c>
      <c r="F650" s="3" t="s">
        <v>58</v>
      </c>
      <c r="G650" s="3" t="s">
        <v>59</v>
      </c>
      <c r="H650" s="3" t="s">
        <v>58</v>
      </c>
      <c r="I650" s="3" t="s">
        <v>58</v>
      </c>
      <c r="J650" s="3" t="s">
        <v>60</v>
      </c>
      <c r="K650" s="2" t="s">
        <v>8314</v>
      </c>
      <c r="L650" s="2" t="s">
        <v>6025</v>
      </c>
      <c r="M650" s="3" t="s">
        <v>374</v>
      </c>
      <c r="O650" s="3" t="s">
        <v>65</v>
      </c>
      <c r="P650" s="3" t="s">
        <v>245</v>
      </c>
      <c r="R650" s="3" t="s">
        <v>68</v>
      </c>
      <c r="S650" s="4">
        <v>1</v>
      </c>
      <c r="T650" s="4">
        <v>1</v>
      </c>
      <c r="U650" s="5" t="s">
        <v>8315</v>
      </c>
      <c r="V650" s="5" t="s">
        <v>8315</v>
      </c>
      <c r="W650" s="5" t="s">
        <v>8315</v>
      </c>
      <c r="X650" s="5" t="s">
        <v>8315</v>
      </c>
      <c r="Y650" s="4">
        <v>128</v>
      </c>
      <c r="Z650" s="4">
        <v>105</v>
      </c>
      <c r="AA650" s="4">
        <v>126</v>
      </c>
      <c r="AB650" s="4">
        <v>1</v>
      </c>
      <c r="AC650" s="4">
        <v>1</v>
      </c>
      <c r="AD650" s="4">
        <v>4</v>
      </c>
      <c r="AE650" s="4">
        <v>5</v>
      </c>
      <c r="AF650" s="4">
        <v>1</v>
      </c>
      <c r="AG650" s="4">
        <v>2</v>
      </c>
      <c r="AH650" s="4">
        <v>1</v>
      </c>
      <c r="AI650" s="4">
        <v>2</v>
      </c>
      <c r="AJ650" s="4">
        <v>2</v>
      </c>
      <c r="AK650" s="4">
        <v>2</v>
      </c>
      <c r="AL650" s="4">
        <v>0</v>
      </c>
      <c r="AM650" s="4">
        <v>0</v>
      </c>
      <c r="AN650" s="4">
        <v>0</v>
      </c>
      <c r="AO650" s="4">
        <v>0</v>
      </c>
      <c r="AP650" s="3" t="s">
        <v>58</v>
      </c>
      <c r="AQ650" s="3" t="s">
        <v>58</v>
      </c>
      <c r="AS650" s="6" t="str">
        <f>HYPERLINK("https://creighton-primo.hosted.exlibrisgroup.com/primo-explore/search?tab=default_tab&amp;search_scope=EVERYTHING&amp;vid=01CRU&amp;lang=en_US&amp;offset=0&amp;query=any,contains,991004203759702656","Catalog Record")</f>
        <v>Catalog Record</v>
      </c>
      <c r="AT650" s="6" t="str">
        <f>HYPERLINK("http://www.worldcat.org/oclc/32508977","WorldCat Record")</f>
        <v>WorldCat Record</v>
      </c>
      <c r="AU650" s="3" t="s">
        <v>8316</v>
      </c>
      <c r="AV650" s="3" t="s">
        <v>8317</v>
      </c>
      <c r="AW650" s="3" t="s">
        <v>8318</v>
      </c>
      <c r="AX650" s="3" t="s">
        <v>8318</v>
      </c>
      <c r="AY650" s="3" t="s">
        <v>8319</v>
      </c>
      <c r="AZ650" s="3" t="s">
        <v>75</v>
      </c>
      <c r="BB650" s="3" t="s">
        <v>8320</v>
      </c>
      <c r="BC650" s="3" t="s">
        <v>8321</v>
      </c>
      <c r="BD650" s="3" t="s">
        <v>8322</v>
      </c>
    </row>
    <row r="651" spans="1:56" ht="39" customHeight="1" x14ac:dyDescent="0.25">
      <c r="A651" s="7" t="s">
        <v>58</v>
      </c>
      <c r="B651" s="2" t="s">
        <v>8323</v>
      </c>
      <c r="C651" s="2" t="s">
        <v>8324</v>
      </c>
      <c r="D651" s="2" t="s">
        <v>8325</v>
      </c>
      <c r="F651" s="3" t="s">
        <v>58</v>
      </c>
      <c r="G651" s="3" t="s">
        <v>59</v>
      </c>
      <c r="H651" s="3" t="s">
        <v>58</v>
      </c>
      <c r="I651" s="3" t="s">
        <v>58</v>
      </c>
      <c r="J651" s="3" t="s">
        <v>60</v>
      </c>
      <c r="K651" s="2" t="s">
        <v>8326</v>
      </c>
      <c r="L651" s="2" t="s">
        <v>8327</v>
      </c>
      <c r="M651" s="3" t="s">
        <v>374</v>
      </c>
      <c r="O651" s="3" t="s">
        <v>65</v>
      </c>
      <c r="P651" s="3" t="s">
        <v>186</v>
      </c>
      <c r="R651" s="3" t="s">
        <v>68</v>
      </c>
      <c r="S651" s="4">
        <v>2</v>
      </c>
      <c r="T651" s="4">
        <v>2</v>
      </c>
      <c r="U651" s="5" t="s">
        <v>8328</v>
      </c>
      <c r="V651" s="5" t="s">
        <v>8328</v>
      </c>
      <c r="W651" s="5" t="s">
        <v>1399</v>
      </c>
      <c r="X651" s="5" t="s">
        <v>1399</v>
      </c>
      <c r="Y651" s="4">
        <v>289</v>
      </c>
      <c r="Z651" s="4">
        <v>263</v>
      </c>
      <c r="AA651" s="4">
        <v>347</v>
      </c>
      <c r="AB651" s="4">
        <v>2</v>
      </c>
      <c r="AC651" s="4">
        <v>2</v>
      </c>
      <c r="AD651" s="4">
        <v>6</v>
      </c>
      <c r="AE651" s="4">
        <v>11</v>
      </c>
      <c r="AF651" s="4">
        <v>0</v>
      </c>
      <c r="AG651" s="4">
        <v>2</v>
      </c>
      <c r="AH651" s="4">
        <v>1</v>
      </c>
      <c r="AI651" s="4">
        <v>1</v>
      </c>
      <c r="AJ651" s="4">
        <v>5</v>
      </c>
      <c r="AK651" s="4">
        <v>8</v>
      </c>
      <c r="AL651" s="4">
        <v>0</v>
      </c>
      <c r="AM651" s="4">
        <v>0</v>
      </c>
      <c r="AN651" s="4">
        <v>0</v>
      </c>
      <c r="AO651" s="4">
        <v>0</v>
      </c>
      <c r="AP651" s="3" t="s">
        <v>58</v>
      </c>
      <c r="AQ651" s="3" t="s">
        <v>132</v>
      </c>
      <c r="AR651" s="6" t="str">
        <f>HYPERLINK("http://catalog.hathitrust.org/Record/009805564","HathiTrust Record")</f>
        <v>HathiTrust Record</v>
      </c>
      <c r="AS651" s="6" t="str">
        <f>HYPERLINK("https://creighton-primo.hosted.exlibrisgroup.com/primo-explore/search?tab=default_tab&amp;search_scope=EVERYTHING&amp;vid=01CRU&amp;lang=en_US&amp;offset=0&amp;query=any,contains,991002426039702656","Catalog Record")</f>
        <v>Catalog Record</v>
      </c>
      <c r="AT651" s="6" t="str">
        <f>HYPERLINK("http://www.worldcat.org/oclc/31608005","WorldCat Record")</f>
        <v>WorldCat Record</v>
      </c>
      <c r="AU651" s="3" t="s">
        <v>8329</v>
      </c>
      <c r="AV651" s="3" t="s">
        <v>8330</v>
      </c>
      <c r="AW651" s="3" t="s">
        <v>8331</v>
      </c>
      <c r="AX651" s="3" t="s">
        <v>8331</v>
      </c>
      <c r="AY651" s="3" t="s">
        <v>8332</v>
      </c>
      <c r="AZ651" s="3" t="s">
        <v>75</v>
      </c>
      <c r="BB651" s="3" t="s">
        <v>8333</v>
      </c>
      <c r="BC651" s="3" t="s">
        <v>8334</v>
      </c>
      <c r="BD651" s="3" t="s">
        <v>8335</v>
      </c>
    </row>
    <row r="652" spans="1:56" ht="39" customHeight="1" x14ac:dyDescent="0.25">
      <c r="A652" s="7" t="s">
        <v>58</v>
      </c>
      <c r="B652" s="2" t="s">
        <v>8336</v>
      </c>
      <c r="C652" s="2" t="s">
        <v>8337</v>
      </c>
      <c r="D652" s="2" t="s">
        <v>8338</v>
      </c>
      <c r="F652" s="3" t="s">
        <v>58</v>
      </c>
      <c r="G652" s="3" t="s">
        <v>59</v>
      </c>
      <c r="H652" s="3" t="s">
        <v>58</v>
      </c>
      <c r="I652" s="3" t="s">
        <v>58</v>
      </c>
      <c r="J652" s="3" t="s">
        <v>60</v>
      </c>
      <c r="K652" s="2" t="s">
        <v>7725</v>
      </c>
      <c r="L652" s="2" t="s">
        <v>3726</v>
      </c>
      <c r="M652" s="3" t="s">
        <v>3656</v>
      </c>
      <c r="O652" s="3" t="s">
        <v>65</v>
      </c>
      <c r="P652" s="3" t="s">
        <v>186</v>
      </c>
      <c r="R652" s="3" t="s">
        <v>68</v>
      </c>
      <c r="S652" s="4">
        <v>3</v>
      </c>
      <c r="T652" s="4">
        <v>3</v>
      </c>
      <c r="U652" s="5" t="s">
        <v>8339</v>
      </c>
      <c r="V652" s="5" t="s">
        <v>8339</v>
      </c>
      <c r="W652" s="5" t="s">
        <v>8340</v>
      </c>
      <c r="X652" s="5" t="s">
        <v>8340</v>
      </c>
      <c r="Y652" s="4">
        <v>190</v>
      </c>
      <c r="Z652" s="4">
        <v>174</v>
      </c>
      <c r="AA652" s="4">
        <v>179</v>
      </c>
      <c r="AB652" s="4">
        <v>3</v>
      </c>
      <c r="AC652" s="4">
        <v>3</v>
      </c>
      <c r="AD652" s="4">
        <v>12</v>
      </c>
      <c r="AE652" s="4">
        <v>12</v>
      </c>
      <c r="AF652" s="4">
        <v>2</v>
      </c>
      <c r="AG652" s="4">
        <v>2</v>
      </c>
      <c r="AH652" s="4">
        <v>5</v>
      </c>
      <c r="AI652" s="4">
        <v>5</v>
      </c>
      <c r="AJ652" s="4">
        <v>6</v>
      </c>
      <c r="AK652" s="4">
        <v>6</v>
      </c>
      <c r="AL652" s="4">
        <v>1</v>
      </c>
      <c r="AM652" s="4">
        <v>1</v>
      </c>
      <c r="AN652" s="4">
        <v>0</v>
      </c>
      <c r="AO652" s="4">
        <v>0</v>
      </c>
      <c r="AP652" s="3" t="s">
        <v>58</v>
      </c>
      <c r="AQ652" s="3" t="s">
        <v>58</v>
      </c>
      <c r="AS652" s="6" t="str">
        <f>HYPERLINK("https://creighton-primo.hosted.exlibrisgroup.com/primo-explore/search?tab=default_tab&amp;search_scope=EVERYTHING&amp;vid=01CRU&amp;lang=en_US&amp;offset=0&amp;query=any,contains,991002729189702656","Catalog Record")</f>
        <v>Catalog Record</v>
      </c>
      <c r="AT652" s="6" t="str">
        <f>HYPERLINK("http://www.worldcat.org/oclc/35792289","WorldCat Record")</f>
        <v>WorldCat Record</v>
      </c>
      <c r="AU652" s="3" t="s">
        <v>8341</v>
      </c>
      <c r="AV652" s="3" t="s">
        <v>8342</v>
      </c>
      <c r="AW652" s="3" t="s">
        <v>8343</v>
      </c>
      <c r="AX652" s="3" t="s">
        <v>8343</v>
      </c>
      <c r="AY652" s="3" t="s">
        <v>8344</v>
      </c>
      <c r="AZ652" s="3" t="s">
        <v>75</v>
      </c>
      <c r="BB652" s="3" t="s">
        <v>8345</v>
      </c>
      <c r="BC652" s="3" t="s">
        <v>8346</v>
      </c>
      <c r="BD652" s="3" t="s">
        <v>8347</v>
      </c>
    </row>
    <row r="653" spans="1:56" ht="39" customHeight="1" x14ac:dyDescent="0.25">
      <c r="A653" s="7" t="s">
        <v>58</v>
      </c>
      <c r="B653" s="2" t="s">
        <v>8348</v>
      </c>
      <c r="C653" s="2" t="s">
        <v>8349</v>
      </c>
      <c r="D653" s="2" t="s">
        <v>8350</v>
      </c>
      <c r="F653" s="3" t="s">
        <v>58</v>
      </c>
      <c r="G653" s="3" t="s">
        <v>59</v>
      </c>
      <c r="H653" s="3" t="s">
        <v>58</v>
      </c>
      <c r="I653" s="3" t="s">
        <v>58</v>
      </c>
      <c r="J653" s="3" t="s">
        <v>60</v>
      </c>
      <c r="L653" s="2" t="s">
        <v>8351</v>
      </c>
      <c r="M653" s="3" t="s">
        <v>781</v>
      </c>
      <c r="O653" s="3" t="s">
        <v>65</v>
      </c>
      <c r="P653" s="3" t="s">
        <v>201</v>
      </c>
      <c r="R653" s="3" t="s">
        <v>68</v>
      </c>
      <c r="S653" s="4">
        <v>4</v>
      </c>
      <c r="T653" s="4">
        <v>4</v>
      </c>
      <c r="U653" s="5" t="s">
        <v>8352</v>
      </c>
      <c r="V653" s="5" t="s">
        <v>8352</v>
      </c>
      <c r="W653" s="5" t="s">
        <v>7849</v>
      </c>
      <c r="X653" s="5" t="s">
        <v>7849</v>
      </c>
      <c r="Y653" s="4">
        <v>140</v>
      </c>
      <c r="Z653" s="4">
        <v>123</v>
      </c>
      <c r="AA653" s="4">
        <v>163</v>
      </c>
      <c r="AB653" s="4">
        <v>2</v>
      </c>
      <c r="AC653" s="4">
        <v>2</v>
      </c>
      <c r="AD653" s="4">
        <v>7</v>
      </c>
      <c r="AE653" s="4">
        <v>10</v>
      </c>
      <c r="AF653" s="4">
        <v>1</v>
      </c>
      <c r="AG653" s="4">
        <v>3</v>
      </c>
      <c r="AH653" s="4">
        <v>2</v>
      </c>
      <c r="AI653" s="4">
        <v>3</v>
      </c>
      <c r="AJ653" s="4">
        <v>5</v>
      </c>
      <c r="AK653" s="4">
        <v>5</v>
      </c>
      <c r="AL653" s="4">
        <v>1</v>
      </c>
      <c r="AM653" s="4">
        <v>1</v>
      </c>
      <c r="AN653" s="4">
        <v>0</v>
      </c>
      <c r="AO653" s="4">
        <v>0</v>
      </c>
      <c r="AP653" s="3" t="s">
        <v>58</v>
      </c>
      <c r="AQ653" s="3" t="s">
        <v>132</v>
      </c>
      <c r="AR653" s="6" t="str">
        <f>HYPERLINK("http://catalog.hathitrust.org/Record/000536319","HathiTrust Record")</f>
        <v>HathiTrust Record</v>
      </c>
      <c r="AS653" s="6" t="str">
        <f>HYPERLINK("https://creighton-primo.hosted.exlibrisgroup.com/primo-explore/search?tab=default_tab&amp;search_scope=EVERYTHING&amp;vid=01CRU&amp;lang=en_US&amp;offset=0&amp;query=any,contains,991000750279702656","Catalog Record")</f>
        <v>Catalog Record</v>
      </c>
      <c r="AT653" s="6" t="str">
        <f>HYPERLINK("http://www.worldcat.org/oclc/12909284","WorldCat Record")</f>
        <v>WorldCat Record</v>
      </c>
      <c r="AU653" s="3" t="s">
        <v>8353</v>
      </c>
      <c r="AV653" s="3" t="s">
        <v>8354</v>
      </c>
      <c r="AW653" s="3" t="s">
        <v>8355</v>
      </c>
      <c r="AX653" s="3" t="s">
        <v>8355</v>
      </c>
      <c r="AY653" s="3" t="s">
        <v>8356</v>
      </c>
      <c r="AZ653" s="3" t="s">
        <v>75</v>
      </c>
      <c r="BB653" s="3" t="s">
        <v>8357</v>
      </c>
      <c r="BC653" s="3" t="s">
        <v>8358</v>
      </c>
      <c r="BD653" s="3" t="s">
        <v>8359</v>
      </c>
    </row>
    <row r="654" spans="1:56" ht="39" customHeight="1" x14ac:dyDescent="0.25">
      <c r="A654" s="7" t="s">
        <v>58</v>
      </c>
      <c r="B654" s="2" t="s">
        <v>8360</v>
      </c>
      <c r="C654" s="2" t="s">
        <v>8361</v>
      </c>
      <c r="D654" s="2" t="s">
        <v>8362</v>
      </c>
      <c r="F654" s="3" t="s">
        <v>58</v>
      </c>
      <c r="G654" s="3" t="s">
        <v>59</v>
      </c>
      <c r="H654" s="3" t="s">
        <v>58</v>
      </c>
      <c r="I654" s="3" t="s">
        <v>58</v>
      </c>
      <c r="J654" s="3" t="s">
        <v>60</v>
      </c>
      <c r="K654" s="2" t="s">
        <v>8363</v>
      </c>
      <c r="L654" s="2" t="s">
        <v>8364</v>
      </c>
      <c r="M654" s="3" t="s">
        <v>273</v>
      </c>
      <c r="O654" s="3" t="s">
        <v>65</v>
      </c>
      <c r="P654" s="3" t="s">
        <v>186</v>
      </c>
      <c r="R654" s="3" t="s">
        <v>68</v>
      </c>
      <c r="S654" s="4">
        <v>3</v>
      </c>
      <c r="T654" s="4">
        <v>3</v>
      </c>
      <c r="U654" s="5" t="s">
        <v>8365</v>
      </c>
      <c r="V654" s="5" t="s">
        <v>8365</v>
      </c>
      <c r="W654" s="5" t="s">
        <v>8366</v>
      </c>
      <c r="X654" s="5" t="s">
        <v>8366</v>
      </c>
      <c r="Y654" s="4">
        <v>461</v>
      </c>
      <c r="Z654" s="4">
        <v>381</v>
      </c>
      <c r="AA654" s="4">
        <v>405</v>
      </c>
      <c r="AB654" s="4">
        <v>5</v>
      </c>
      <c r="AC654" s="4">
        <v>5</v>
      </c>
      <c r="AD654" s="4">
        <v>22</v>
      </c>
      <c r="AE654" s="4">
        <v>22</v>
      </c>
      <c r="AF654" s="4">
        <v>8</v>
      </c>
      <c r="AG654" s="4">
        <v>8</v>
      </c>
      <c r="AH654" s="4">
        <v>3</v>
      </c>
      <c r="AI654" s="4">
        <v>3</v>
      </c>
      <c r="AJ654" s="4">
        <v>11</v>
      </c>
      <c r="AK654" s="4">
        <v>11</v>
      </c>
      <c r="AL654" s="4">
        <v>4</v>
      </c>
      <c r="AM654" s="4">
        <v>4</v>
      </c>
      <c r="AN654" s="4">
        <v>0</v>
      </c>
      <c r="AO654" s="4">
        <v>0</v>
      </c>
      <c r="AP654" s="3" t="s">
        <v>58</v>
      </c>
      <c r="AQ654" s="3" t="s">
        <v>58</v>
      </c>
      <c r="AS654" s="6" t="str">
        <f>HYPERLINK("https://creighton-primo.hosted.exlibrisgroup.com/primo-explore/search?tab=default_tab&amp;search_scope=EVERYTHING&amp;vid=01CRU&amp;lang=en_US&amp;offset=0&amp;query=any,contains,991002119359702656","Catalog Record")</f>
        <v>Catalog Record</v>
      </c>
      <c r="AT654" s="6" t="str">
        <f>HYPERLINK("http://www.worldcat.org/oclc/27171756","WorldCat Record")</f>
        <v>WorldCat Record</v>
      </c>
      <c r="AU654" s="3" t="s">
        <v>8367</v>
      </c>
      <c r="AV654" s="3" t="s">
        <v>8368</v>
      </c>
      <c r="AW654" s="3" t="s">
        <v>8369</v>
      </c>
      <c r="AX654" s="3" t="s">
        <v>8369</v>
      </c>
      <c r="AY654" s="3" t="s">
        <v>8370</v>
      </c>
      <c r="AZ654" s="3" t="s">
        <v>75</v>
      </c>
      <c r="BB654" s="3" t="s">
        <v>8371</v>
      </c>
      <c r="BC654" s="3" t="s">
        <v>8372</v>
      </c>
      <c r="BD654" s="3" t="s">
        <v>8373</v>
      </c>
    </row>
    <row r="655" spans="1:56" ht="39" customHeight="1" x14ac:dyDescent="0.25">
      <c r="A655" s="7" t="s">
        <v>58</v>
      </c>
      <c r="B655" s="2" t="s">
        <v>8374</v>
      </c>
      <c r="C655" s="2" t="s">
        <v>8375</v>
      </c>
      <c r="D655" s="2" t="s">
        <v>8376</v>
      </c>
      <c r="F655" s="3" t="s">
        <v>58</v>
      </c>
      <c r="G655" s="3" t="s">
        <v>59</v>
      </c>
      <c r="H655" s="3" t="s">
        <v>58</v>
      </c>
      <c r="I655" s="3" t="s">
        <v>58</v>
      </c>
      <c r="J655" s="3" t="s">
        <v>60</v>
      </c>
      <c r="K655" s="2" t="s">
        <v>8377</v>
      </c>
      <c r="L655" s="2" t="s">
        <v>8378</v>
      </c>
      <c r="M655" s="3" t="s">
        <v>229</v>
      </c>
      <c r="O655" s="3" t="s">
        <v>65</v>
      </c>
      <c r="P655" s="3" t="s">
        <v>186</v>
      </c>
      <c r="R655" s="3" t="s">
        <v>68</v>
      </c>
      <c r="S655" s="4">
        <v>1</v>
      </c>
      <c r="T655" s="4">
        <v>1</v>
      </c>
      <c r="U655" s="5" t="s">
        <v>8379</v>
      </c>
      <c r="V655" s="5" t="s">
        <v>8379</v>
      </c>
      <c r="W655" s="5" t="s">
        <v>8379</v>
      </c>
      <c r="X655" s="5" t="s">
        <v>8379</v>
      </c>
      <c r="Y655" s="4">
        <v>59</v>
      </c>
      <c r="Z655" s="4">
        <v>50</v>
      </c>
      <c r="AA655" s="4">
        <v>50</v>
      </c>
      <c r="AB655" s="4">
        <v>2</v>
      </c>
      <c r="AC655" s="4">
        <v>2</v>
      </c>
      <c r="AD655" s="4">
        <v>4</v>
      </c>
      <c r="AE655" s="4">
        <v>4</v>
      </c>
      <c r="AF655" s="4">
        <v>1</v>
      </c>
      <c r="AG655" s="4">
        <v>1</v>
      </c>
      <c r="AH655" s="4">
        <v>0</v>
      </c>
      <c r="AI655" s="4">
        <v>0</v>
      </c>
      <c r="AJ655" s="4">
        <v>4</v>
      </c>
      <c r="AK655" s="4">
        <v>4</v>
      </c>
      <c r="AL655" s="4">
        <v>0</v>
      </c>
      <c r="AM655" s="4">
        <v>0</v>
      </c>
      <c r="AN655" s="4">
        <v>0</v>
      </c>
      <c r="AO655" s="4">
        <v>0</v>
      </c>
      <c r="AP655" s="3" t="s">
        <v>58</v>
      </c>
      <c r="AQ655" s="3" t="s">
        <v>58</v>
      </c>
      <c r="AS655" s="6" t="str">
        <f>HYPERLINK("https://creighton-primo.hosted.exlibrisgroup.com/primo-explore/search?tab=default_tab&amp;search_scope=EVERYTHING&amp;vid=01CRU&amp;lang=en_US&amp;offset=0&amp;query=any,contains,991004118029702656","Catalog Record")</f>
        <v>Catalog Record</v>
      </c>
      <c r="AT655" s="6" t="str">
        <f>HYPERLINK("http://www.worldcat.org/oclc/18982769","WorldCat Record")</f>
        <v>WorldCat Record</v>
      </c>
      <c r="AU655" s="3" t="s">
        <v>8380</v>
      </c>
      <c r="AV655" s="3" t="s">
        <v>8381</v>
      </c>
      <c r="AW655" s="3" t="s">
        <v>8382</v>
      </c>
      <c r="AX655" s="3" t="s">
        <v>8382</v>
      </c>
      <c r="AY655" s="3" t="s">
        <v>8383</v>
      </c>
      <c r="AZ655" s="3" t="s">
        <v>75</v>
      </c>
      <c r="BB655" s="3" t="s">
        <v>8384</v>
      </c>
      <c r="BC655" s="3" t="s">
        <v>8385</v>
      </c>
      <c r="BD655" s="3" t="s">
        <v>8386</v>
      </c>
    </row>
    <row r="656" spans="1:56" ht="39" customHeight="1" x14ac:dyDescent="0.25">
      <c r="A656" s="7" t="s">
        <v>58</v>
      </c>
      <c r="B656" s="2" t="s">
        <v>8387</v>
      </c>
      <c r="C656" s="2" t="s">
        <v>8388</v>
      </c>
      <c r="D656" s="2" t="s">
        <v>8389</v>
      </c>
      <c r="F656" s="3" t="s">
        <v>58</v>
      </c>
      <c r="G656" s="3" t="s">
        <v>59</v>
      </c>
      <c r="H656" s="3" t="s">
        <v>58</v>
      </c>
      <c r="I656" s="3" t="s">
        <v>58</v>
      </c>
      <c r="J656" s="3" t="s">
        <v>60</v>
      </c>
      <c r="K656" s="2" t="s">
        <v>8390</v>
      </c>
      <c r="L656" s="2" t="s">
        <v>3023</v>
      </c>
      <c r="M656" s="3" t="s">
        <v>781</v>
      </c>
      <c r="O656" s="3" t="s">
        <v>65</v>
      </c>
      <c r="P656" s="3" t="s">
        <v>186</v>
      </c>
      <c r="R656" s="3" t="s">
        <v>68</v>
      </c>
      <c r="S656" s="4">
        <v>4</v>
      </c>
      <c r="T656" s="4">
        <v>4</v>
      </c>
      <c r="U656" s="5" t="s">
        <v>8352</v>
      </c>
      <c r="V656" s="5" t="s">
        <v>8352</v>
      </c>
      <c r="W656" s="5" t="s">
        <v>1687</v>
      </c>
      <c r="X656" s="5" t="s">
        <v>1687</v>
      </c>
      <c r="Y656" s="4">
        <v>190</v>
      </c>
      <c r="Z656" s="4">
        <v>166</v>
      </c>
      <c r="AA656" s="4">
        <v>172</v>
      </c>
      <c r="AB656" s="4">
        <v>4</v>
      </c>
      <c r="AC656" s="4">
        <v>4</v>
      </c>
      <c r="AD656" s="4">
        <v>16</v>
      </c>
      <c r="AE656" s="4">
        <v>16</v>
      </c>
      <c r="AF656" s="4">
        <v>4</v>
      </c>
      <c r="AG656" s="4">
        <v>4</v>
      </c>
      <c r="AH656" s="4">
        <v>2</v>
      </c>
      <c r="AI656" s="4">
        <v>2</v>
      </c>
      <c r="AJ656" s="4">
        <v>12</v>
      </c>
      <c r="AK656" s="4">
        <v>12</v>
      </c>
      <c r="AL656" s="4">
        <v>1</v>
      </c>
      <c r="AM656" s="4">
        <v>1</v>
      </c>
      <c r="AN656" s="4">
        <v>0</v>
      </c>
      <c r="AO656" s="4">
        <v>0</v>
      </c>
      <c r="AP656" s="3" t="s">
        <v>58</v>
      </c>
      <c r="AQ656" s="3" t="s">
        <v>58</v>
      </c>
      <c r="AS656" s="6" t="str">
        <f>HYPERLINK("https://creighton-primo.hosted.exlibrisgroup.com/primo-explore/search?tab=default_tab&amp;search_scope=EVERYTHING&amp;vid=01CRU&amp;lang=en_US&amp;offset=0&amp;query=any,contains,991000665499702656","Catalog Record")</f>
        <v>Catalog Record</v>
      </c>
      <c r="AT656" s="6" t="str">
        <f>HYPERLINK("http://www.worldcat.org/oclc/12270386","WorldCat Record")</f>
        <v>WorldCat Record</v>
      </c>
      <c r="AU656" s="3" t="s">
        <v>8391</v>
      </c>
      <c r="AV656" s="3" t="s">
        <v>8392</v>
      </c>
      <c r="AW656" s="3" t="s">
        <v>8393</v>
      </c>
      <c r="AX656" s="3" t="s">
        <v>8393</v>
      </c>
      <c r="AY656" s="3" t="s">
        <v>8394</v>
      </c>
      <c r="AZ656" s="3" t="s">
        <v>75</v>
      </c>
      <c r="BB656" s="3" t="s">
        <v>8395</v>
      </c>
      <c r="BC656" s="3" t="s">
        <v>8396</v>
      </c>
      <c r="BD656" s="3" t="s">
        <v>8397</v>
      </c>
    </row>
    <row r="657" spans="1:56" ht="39" customHeight="1" x14ac:dyDescent="0.25">
      <c r="A657" s="7" t="s">
        <v>58</v>
      </c>
      <c r="B657" s="2" t="s">
        <v>8398</v>
      </c>
      <c r="C657" s="2" t="s">
        <v>8399</v>
      </c>
      <c r="D657" s="2" t="s">
        <v>8400</v>
      </c>
      <c r="F657" s="3" t="s">
        <v>58</v>
      </c>
      <c r="G657" s="3" t="s">
        <v>59</v>
      </c>
      <c r="H657" s="3" t="s">
        <v>58</v>
      </c>
      <c r="I657" s="3" t="s">
        <v>58</v>
      </c>
      <c r="J657" s="3" t="s">
        <v>60</v>
      </c>
      <c r="K657" s="2" t="s">
        <v>8401</v>
      </c>
      <c r="L657" s="2" t="s">
        <v>8402</v>
      </c>
      <c r="M657" s="3" t="s">
        <v>1046</v>
      </c>
      <c r="O657" s="3" t="s">
        <v>65</v>
      </c>
      <c r="P657" s="3" t="s">
        <v>201</v>
      </c>
      <c r="R657" s="3" t="s">
        <v>68</v>
      </c>
      <c r="S657" s="4">
        <v>3</v>
      </c>
      <c r="T657" s="4">
        <v>3</v>
      </c>
      <c r="U657" s="5" t="s">
        <v>8403</v>
      </c>
      <c r="V657" s="5" t="s">
        <v>8403</v>
      </c>
      <c r="W657" s="5" t="s">
        <v>6843</v>
      </c>
      <c r="X657" s="5" t="s">
        <v>6843</v>
      </c>
      <c r="Y657" s="4">
        <v>146</v>
      </c>
      <c r="Z657" s="4">
        <v>129</v>
      </c>
      <c r="AA657" s="4">
        <v>129</v>
      </c>
      <c r="AB657" s="4">
        <v>2</v>
      </c>
      <c r="AC657" s="4">
        <v>2</v>
      </c>
      <c r="AD657" s="4">
        <v>7</v>
      </c>
      <c r="AE657" s="4">
        <v>7</v>
      </c>
      <c r="AF657" s="4">
        <v>3</v>
      </c>
      <c r="AG657" s="4">
        <v>3</v>
      </c>
      <c r="AH657" s="4">
        <v>0</v>
      </c>
      <c r="AI657" s="4">
        <v>0</v>
      </c>
      <c r="AJ657" s="4">
        <v>3</v>
      </c>
      <c r="AK657" s="4">
        <v>3</v>
      </c>
      <c r="AL657" s="4">
        <v>1</v>
      </c>
      <c r="AM657" s="4">
        <v>1</v>
      </c>
      <c r="AN657" s="4">
        <v>0</v>
      </c>
      <c r="AO657" s="4">
        <v>0</v>
      </c>
      <c r="AP657" s="3" t="s">
        <v>58</v>
      </c>
      <c r="AQ657" s="3" t="s">
        <v>58</v>
      </c>
      <c r="AS657" s="6" t="str">
        <f>HYPERLINK("https://creighton-primo.hosted.exlibrisgroup.com/primo-explore/search?tab=default_tab&amp;search_scope=EVERYTHING&amp;vid=01CRU&amp;lang=en_US&amp;offset=0&amp;query=any,contains,991000780939702656","Catalog Record")</f>
        <v>Catalog Record</v>
      </c>
      <c r="AT657" s="6" t="str">
        <f>HYPERLINK("http://www.worldcat.org/oclc/13095923","WorldCat Record")</f>
        <v>WorldCat Record</v>
      </c>
      <c r="AU657" s="3" t="s">
        <v>8404</v>
      </c>
      <c r="AV657" s="3" t="s">
        <v>8405</v>
      </c>
      <c r="AW657" s="3" t="s">
        <v>8406</v>
      </c>
      <c r="AX657" s="3" t="s">
        <v>8406</v>
      </c>
      <c r="AY657" s="3" t="s">
        <v>8407</v>
      </c>
      <c r="AZ657" s="3" t="s">
        <v>75</v>
      </c>
      <c r="BB657" s="3" t="s">
        <v>8408</v>
      </c>
      <c r="BC657" s="3" t="s">
        <v>8409</v>
      </c>
      <c r="BD657" s="3" t="s">
        <v>8410</v>
      </c>
    </row>
    <row r="658" spans="1:56" ht="39" customHeight="1" x14ac:dyDescent="0.25">
      <c r="A658" s="7" t="s">
        <v>58</v>
      </c>
      <c r="B658" s="2" t="s">
        <v>8411</v>
      </c>
      <c r="C658" s="2" t="s">
        <v>8412</v>
      </c>
      <c r="D658" s="2" t="s">
        <v>8413</v>
      </c>
      <c r="F658" s="3" t="s">
        <v>58</v>
      </c>
      <c r="G658" s="3" t="s">
        <v>59</v>
      </c>
      <c r="H658" s="3" t="s">
        <v>58</v>
      </c>
      <c r="I658" s="3" t="s">
        <v>58</v>
      </c>
      <c r="J658" s="3" t="s">
        <v>60</v>
      </c>
      <c r="K658" s="2" t="s">
        <v>8414</v>
      </c>
      <c r="L658" s="2" t="s">
        <v>8415</v>
      </c>
      <c r="M658" s="3" t="s">
        <v>439</v>
      </c>
      <c r="O658" s="3" t="s">
        <v>65</v>
      </c>
      <c r="P658" s="3" t="s">
        <v>967</v>
      </c>
      <c r="R658" s="3" t="s">
        <v>68</v>
      </c>
      <c r="S658" s="4">
        <v>1</v>
      </c>
      <c r="T658" s="4">
        <v>1</v>
      </c>
      <c r="U658" s="5" t="s">
        <v>6369</v>
      </c>
      <c r="V658" s="5" t="s">
        <v>6369</v>
      </c>
      <c r="W658" s="5" t="s">
        <v>8416</v>
      </c>
      <c r="X658" s="5" t="s">
        <v>8416</v>
      </c>
      <c r="Y658" s="4">
        <v>270</v>
      </c>
      <c r="Z658" s="4">
        <v>243</v>
      </c>
      <c r="AA658" s="4">
        <v>245</v>
      </c>
      <c r="AB658" s="4">
        <v>4</v>
      </c>
      <c r="AC658" s="4">
        <v>4</v>
      </c>
      <c r="AD658" s="4">
        <v>11</v>
      </c>
      <c r="AE658" s="4">
        <v>11</v>
      </c>
      <c r="AF658" s="4">
        <v>5</v>
      </c>
      <c r="AG658" s="4">
        <v>5</v>
      </c>
      <c r="AH658" s="4">
        <v>1</v>
      </c>
      <c r="AI658" s="4">
        <v>1</v>
      </c>
      <c r="AJ658" s="4">
        <v>4</v>
      </c>
      <c r="AK658" s="4">
        <v>4</v>
      </c>
      <c r="AL658" s="4">
        <v>3</v>
      </c>
      <c r="AM658" s="4">
        <v>3</v>
      </c>
      <c r="AN658" s="4">
        <v>0</v>
      </c>
      <c r="AO658" s="4">
        <v>0</v>
      </c>
      <c r="AP658" s="3" t="s">
        <v>58</v>
      </c>
      <c r="AQ658" s="3" t="s">
        <v>132</v>
      </c>
      <c r="AR658" s="6" t="str">
        <f>HYPERLINK("http://catalog.hathitrust.org/Record/000766275","HathiTrust Record")</f>
        <v>HathiTrust Record</v>
      </c>
      <c r="AS658" s="6" t="str">
        <f>HYPERLINK("https://creighton-primo.hosted.exlibrisgroup.com/primo-explore/search?tab=default_tab&amp;search_scope=EVERYTHING&amp;vid=01CRU&amp;lang=en_US&amp;offset=0&amp;query=any,contains,991004830969702656","Catalog Record")</f>
        <v>Catalog Record</v>
      </c>
      <c r="AT658" s="6" t="str">
        <f>HYPERLINK("http://www.worldcat.org/oclc/5410537","WorldCat Record")</f>
        <v>WorldCat Record</v>
      </c>
      <c r="AU658" s="3" t="s">
        <v>8417</v>
      </c>
      <c r="AV658" s="3" t="s">
        <v>8418</v>
      </c>
      <c r="AW658" s="3" t="s">
        <v>8419</v>
      </c>
      <c r="AX658" s="3" t="s">
        <v>8419</v>
      </c>
      <c r="AY658" s="3" t="s">
        <v>8420</v>
      </c>
      <c r="AZ658" s="3" t="s">
        <v>75</v>
      </c>
      <c r="BB658" s="3" t="s">
        <v>8421</v>
      </c>
      <c r="BC658" s="3" t="s">
        <v>8422</v>
      </c>
      <c r="BD658" s="3" t="s">
        <v>8423</v>
      </c>
    </row>
    <row r="659" spans="1:56" ht="39" customHeight="1" x14ac:dyDescent="0.25">
      <c r="A659" s="7" t="s">
        <v>58</v>
      </c>
      <c r="B659" s="2" t="s">
        <v>8424</v>
      </c>
      <c r="C659" s="2" t="s">
        <v>8425</v>
      </c>
      <c r="D659" s="2" t="s">
        <v>8426</v>
      </c>
      <c r="F659" s="3" t="s">
        <v>58</v>
      </c>
      <c r="G659" s="3" t="s">
        <v>59</v>
      </c>
      <c r="H659" s="3" t="s">
        <v>58</v>
      </c>
      <c r="I659" s="3" t="s">
        <v>58</v>
      </c>
      <c r="J659" s="3" t="s">
        <v>60</v>
      </c>
      <c r="K659" s="2" t="s">
        <v>8427</v>
      </c>
      <c r="L659" s="2" t="s">
        <v>8428</v>
      </c>
      <c r="M659" s="3" t="s">
        <v>3920</v>
      </c>
      <c r="O659" s="3" t="s">
        <v>65</v>
      </c>
      <c r="P659" s="3" t="s">
        <v>304</v>
      </c>
      <c r="Q659" s="2" t="s">
        <v>8429</v>
      </c>
      <c r="R659" s="3" t="s">
        <v>68</v>
      </c>
      <c r="S659" s="4">
        <v>1</v>
      </c>
      <c r="T659" s="4">
        <v>1</v>
      </c>
      <c r="U659" s="5" t="s">
        <v>8430</v>
      </c>
      <c r="V659" s="5" t="s">
        <v>8430</v>
      </c>
      <c r="W659" s="5" t="s">
        <v>8430</v>
      </c>
      <c r="X659" s="5" t="s">
        <v>8430</v>
      </c>
      <c r="Y659" s="4">
        <v>43</v>
      </c>
      <c r="Z659" s="4">
        <v>30</v>
      </c>
      <c r="AA659" s="4">
        <v>30</v>
      </c>
      <c r="AB659" s="4">
        <v>1</v>
      </c>
      <c r="AC659" s="4">
        <v>1</v>
      </c>
      <c r="AD659" s="4">
        <v>6</v>
      </c>
      <c r="AE659" s="4">
        <v>6</v>
      </c>
      <c r="AF659" s="4">
        <v>1</v>
      </c>
      <c r="AG659" s="4">
        <v>1</v>
      </c>
      <c r="AH659" s="4">
        <v>2</v>
      </c>
      <c r="AI659" s="4">
        <v>2</v>
      </c>
      <c r="AJ659" s="4">
        <v>5</v>
      </c>
      <c r="AK659" s="4">
        <v>5</v>
      </c>
      <c r="AL659" s="4">
        <v>0</v>
      </c>
      <c r="AM659" s="4">
        <v>0</v>
      </c>
      <c r="AN659" s="4">
        <v>0</v>
      </c>
      <c r="AO659" s="4">
        <v>0</v>
      </c>
      <c r="AP659" s="3" t="s">
        <v>58</v>
      </c>
      <c r="AQ659" s="3" t="s">
        <v>58</v>
      </c>
      <c r="AS659" s="6" t="str">
        <f>HYPERLINK("https://creighton-primo.hosted.exlibrisgroup.com/primo-explore/search?tab=default_tab&amp;search_scope=EVERYTHING&amp;vid=01CRU&amp;lang=en_US&amp;offset=0&amp;query=any,contains,991005224529702656","Catalog Record")</f>
        <v>Catalog Record</v>
      </c>
      <c r="AT659" s="6" t="str">
        <f>HYPERLINK("http://www.worldcat.org/oclc/59712345","WorldCat Record")</f>
        <v>WorldCat Record</v>
      </c>
      <c r="AU659" s="3" t="s">
        <v>8431</v>
      </c>
      <c r="AV659" s="3" t="s">
        <v>8432</v>
      </c>
      <c r="AW659" s="3" t="s">
        <v>8433</v>
      </c>
      <c r="AX659" s="3" t="s">
        <v>8433</v>
      </c>
      <c r="AY659" s="3" t="s">
        <v>8434</v>
      </c>
      <c r="AZ659" s="3" t="s">
        <v>75</v>
      </c>
      <c r="BB659" s="3" t="s">
        <v>8435</v>
      </c>
      <c r="BC659" s="3" t="s">
        <v>8436</v>
      </c>
      <c r="BD659" s="3" t="s">
        <v>8437</v>
      </c>
    </row>
    <row r="660" spans="1:56" ht="39" customHeight="1" x14ac:dyDescent="0.25">
      <c r="A660" s="7" t="s">
        <v>58</v>
      </c>
      <c r="B660" s="2" t="s">
        <v>8438</v>
      </c>
      <c r="C660" s="2" t="s">
        <v>8439</v>
      </c>
      <c r="D660" s="2" t="s">
        <v>8440</v>
      </c>
      <c r="F660" s="3" t="s">
        <v>58</v>
      </c>
      <c r="G660" s="3" t="s">
        <v>59</v>
      </c>
      <c r="H660" s="3" t="s">
        <v>58</v>
      </c>
      <c r="I660" s="3" t="s">
        <v>58</v>
      </c>
      <c r="J660" s="3" t="s">
        <v>60</v>
      </c>
      <c r="K660" s="2" t="s">
        <v>8441</v>
      </c>
      <c r="L660" s="2" t="s">
        <v>8442</v>
      </c>
      <c r="M660" s="3" t="s">
        <v>4281</v>
      </c>
      <c r="O660" s="3" t="s">
        <v>65</v>
      </c>
      <c r="P660" s="3" t="s">
        <v>346</v>
      </c>
      <c r="R660" s="3" t="s">
        <v>68</v>
      </c>
      <c r="S660" s="4">
        <v>1</v>
      </c>
      <c r="T660" s="4">
        <v>1</v>
      </c>
      <c r="U660" s="5" t="s">
        <v>8443</v>
      </c>
      <c r="V660" s="5" t="s">
        <v>8443</v>
      </c>
      <c r="W660" s="5" t="s">
        <v>8443</v>
      </c>
      <c r="X660" s="5" t="s">
        <v>8443</v>
      </c>
      <c r="Y660" s="4">
        <v>9</v>
      </c>
      <c r="Z660" s="4">
        <v>8</v>
      </c>
      <c r="AA660" s="4">
        <v>284</v>
      </c>
      <c r="AB660" s="4">
        <v>1</v>
      </c>
      <c r="AC660" s="4">
        <v>2</v>
      </c>
      <c r="AD660" s="4">
        <v>0</v>
      </c>
      <c r="AE660" s="4">
        <v>11</v>
      </c>
      <c r="AF660" s="4">
        <v>0</v>
      </c>
      <c r="AG660" s="4">
        <v>4</v>
      </c>
      <c r="AH660" s="4">
        <v>0</v>
      </c>
      <c r="AI660" s="4">
        <v>2</v>
      </c>
      <c r="AJ660" s="4">
        <v>0</v>
      </c>
      <c r="AK660" s="4">
        <v>6</v>
      </c>
      <c r="AL660" s="4">
        <v>0</v>
      </c>
      <c r="AM660" s="4">
        <v>1</v>
      </c>
      <c r="AN660" s="4">
        <v>0</v>
      </c>
      <c r="AO660" s="4">
        <v>0</v>
      </c>
      <c r="AP660" s="3" t="s">
        <v>58</v>
      </c>
      <c r="AQ660" s="3" t="s">
        <v>58</v>
      </c>
      <c r="AS660" s="6" t="str">
        <f>HYPERLINK("https://creighton-primo.hosted.exlibrisgroup.com/primo-explore/search?tab=default_tab&amp;search_scope=EVERYTHING&amp;vid=01CRU&amp;lang=en_US&amp;offset=0&amp;query=any,contains,991005378089702656","Catalog Record")</f>
        <v>Catalog Record</v>
      </c>
      <c r="AT660" s="6" t="str">
        <f>HYPERLINK("http://www.worldcat.org/oclc/187116748","WorldCat Record")</f>
        <v>WorldCat Record</v>
      </c>
      <c r="AU660" s="3" t="s">
        <v>8444</v>
      </c>
      <c r="AV660" s="3" t="s">
        <v>8445</v>
      </c>
      <c r="AW660" s="3" t="s">
        <v>8446</v>
      </c>
      <c r="AX660" s="3" t="s">
        <v>8446</v>
      </c>
      <c r="AY660" s="3" t="s">
        <v>8447</v>
      </c>
      <c r="AZ660" s="3" t="s">
        <v>75</v>
      </c>
      <c r="BB660" s="3" t="s">
        <v>8448</v>
      </c>
      <c r="BC660" s="3" t="s">
        <v>8449</v>
      </c>
      <c r="BD660" s="3" t="s">
        <v>8450</v>
      </c>
    </row>
    <row r="661" spans="1:56" ht="39" customHeight="1" x14ac:dyDescent="0.25">
      <c r="A661" s="7" t="s">
        <v>58</v>
      </c>
      <c r="B661" s="2" t="s">
        <v>8451</v>
      </c>
      <c r="C661" s="2" t="s">
        <v>8452</v>
      </c>
      <c r="D661" s="2" t="s">
        <v>8453</v>
      </c>
      <c r="F661" s="3" t="s">
        <v>58</v>
      </c>
      <c r="G661" s="3" t="s">
        <v>59</v>
      </c>
      <c r="H661" s="3" t="s">
        <v>58</v>
      </c>
      <c r="I661" s="3" t="s">
        <v>58</v>
      </c>
      <c r="J661" s="3" t="s">
        <v>60</v>
      </c>
      <c r="K661" s="2" t="s">
        <v>8454</v>
      </c>
      <c r="L661" s="2" t="s">
        <v>8455</v>
      </c>
      <c r="M661" s="3" t="s">
        <v>1723</v>
      </c>
      <c r="O661" s="3" t="s">
        <v>65</v>
      </c>
      <c r="P661" s="3" t="s">
        <v>967</v>
      </c>
      <c r="R661" s="3" t="s">
        <v>68</v>
      </c>
      <c r="S661" s="4">
        <v>6</v>
      </c>
      <c r="T661" s="4">
        <v>6</v>
      </c>
      <c r="U661" s="5" t="s">
        <v>8456</v>
      </c>
      <c r="V661" s="5" t="s">
        <v>8456</v>
      </c>
      <c r="W661" s="5" t="s">
        <v>7981</v>
      </c>
      <c r="X661" s="5" t="s">
        <v>7981</v>
      </c>
      <c r="Y661" s="4">
        <v>226</v>
      </c>
      <c r="Z661" s="4">
        <v>210</v>
      </c>
      <c r="AA661" s="4">
        <v>240</v>
      </c>
      <c r="AB661" s="4">
        <v>2</v>
      </c>
      <c r="AC661" s="4">
        <v>2</v>
      </c>
      <c r="AD661" s="4">
        <v>18</v>
      </c>
      <c r="AE661" s="4">
        <v>20</v>
      </c>
      <c r="AF661" s="4">
        <v>7</v>
      </c>
      <c r="AG661" s="4">
        <v>8</v>
      </c>
      <c r="AH661" s="4">
        <v>5</v>
      </c>
      <c r="AI661" s="4">
        <v>5</v>
      </c>
      <c r="AJ661" s="4">
        <v>11</v>
      </c>
      <c r="AK661" s="4">
        <v>13</v>
      </c>
      <c r="AL661" s="4">
        <v>1</v>
      </c>
      <c r="AM661" s="4">
        <v>1</v>
      </c>
      <c r="AN661" s="4">
        <v>0</v>
      </c>
      <c r="AO661" s="4">
        <v>0</v>
      </c>
      <c r="AP661" s="3" t="s">
        <v>58</v>
      </c>
      <c r="AQ661" s="3" t="s">
        <v>58</v>
      </c>
      <c r="AS661" s="6" t="str">
        <f>HYPERLINK("https://creighton-primo.hosted.exlibrisgroup.com/primo-explore/search?tab=default_tab&amp;search_scope=EVERYTHING&amp;vid=01CRU&amp;lang=en_US&amp;offset=0&amp;query=any,contains,991003577519702656","Catalog Record")</f>
        <v>Catalog Record</v>
      </c>
      <c r="AT661" s="6" t="str">
        <f>HYPERLINK("http://www.worldcat.org/oclc/44727895","WorldCat Record")</f>
        <v>WorldCat Record</v>
      </c>
      <c r="AU661" s="3" t="s">
        <v>8457</v>
      </c>
      <c r="AV661" s="3" t="s">
        <v>8458</v>
      </c>
      <c r="AW661" s="3" t="s">
        <v>8459</v>
      </c>
      <c r="AX661" s="3" t="s">
        <v>8459</v>
      </c>
      <c r="AY661" s="3" t="s">
        <v>8460</v>
      </c>
      <c r="AZ661" s="3" t="s">
        <v>75</v>
      </c>
      <c r="BB661" s="3" t="s">
        <v>8461</v>
      </c>
      <c r="BC661" s="3" t="s">
        <v>8462</v>
      </c>
      <c r="BD661" s="3" t="s">
        <v>8463</v>
      </c>
    </row>
    <row r="662" spans="1:56" ht="39" customHeight="1" x14ac:dyDescent="0.25">
      <c r="A662" s="7" t="s">
        <v>58</v>
      </c>
      <c r="B662" s="2" t="s">
        <v>8464</v>
      </c>
      <c r="C662" s="2" t="s">
        <v>8465</v>
      </c>
      <c r="D662" s="2" t="s">
        <v>8466</v>
      </c>
      <c r="F662" s="3" t="s">
        <v>58</v>
      </c>
      <c r="G662" s="3" t="s">
        <v>59</v>
      </c>
      <c r="H662" s="3" t="s">
        <v>132</v>
      </c>
      <c r="I662" s="3" t="s">
        <v>58</v>
      </c>
      <c r="J662" s="3" t="s">
        <v>60</v>
      </c>
      <c r="K662" s="2" t="s">
        <v>8467</v>
      </c>
      <c r="L662" s="2" t="s">
        <v>8468</v>
      </c>
      <c r="M662" s="3" t="s">
        <v>953</v>
      </c>
      <c r="O662" s="3" t="s">
        <v>65</v>
      </c>
      <c r="P662" s="3" t="s">
        <v>954</v>
      </c>
      <c r="R662" s="3" t="s">
        <v>68</v>
      </c>
      <c r="S662" s="4">
        <v>11</v>
      </c>
      <c r="T662" s="4">
        <v>11</v>
      </c>
      <c r="U662" s="5" t="s">
        <v>8469</v>
      </c>
      <c r="V662" s="5" t="s">
        <v>8469</v>
      </c>
      <c r="W662" s="5" t="s">
        <v>7849</v>
      </c>
      <c r="X662" s="5" t="s">
        <v>7849</v>
      </c>
      <c r="Y662" s="4">
        <v>73</v>
      </c>
      <c r="Z662" s="4">
        <v>69</v>
      </c>
      <c r="AA662" s="4">
        <v>69</v>
      </c>
      <c r="AB662" s="4">
        <v>1</v>
      </c>
      <c r="AC662" s="4">
        <v>1</v>
      </c>
      <c r="AD662" s="4">
        <v>19</v>
      </c>
      <c r="AE662" s="4">
        <v>19</v>
      </c>
      <c r="AF662" s="4">
        <v>7</v>
      </c>
      <c r="AG662" s="4">
        <v>7</v>
      </c>
      <c r="AH662" s="4">
        <v>4</v>
      </c>
      <c r="AI662" s="4">
        <v>4</v>
      </c>
      <c r="AJ662" s="4">
        <v>15</v>
      </c>
      <c r="AK662" s="4">
        <v>15</v>
      </c>
      <c r="AL662" s="4">
        <v>0</v>
      </c>
      <c r="AM662" s="4">
        <v>0</v>
      </c>
      <c r="AN662" s="4">
        <v>0</v>
      </c>
      <c r="AO662" s="4">
        <v>0</v>
      </c>
      <c r="AP662" s="3" t="s">
        <v>58</v>
      </c>
      <c r="AQ662" s="3" t="s">
        <v>58</v>
      </c>
      <c r="AS662" s="6" t="str">
        <f>HYPERLINK("https://creighton-primo.hosted.exlibrisgroup.com/primo-explore/search?tab=default_tab&amp;search_scope=EVERYTHING&amp;vid=01CRU&amp;lang=en_US&amp;offset=0&amp;query=any,contains,991003734699702656","Catalog Record")</f>
        <v>Catalog Record</v>
      </c>
      <c r="AT662" s="6" t="str">
        <f>HYPERLINK("http://www.worldcat.org/oclc/1389083","WorldCat Record")</f>
        <v>WorldCat Record</v>
      </c>
      <c r="AU662" s="3" t="s">
        <v>8470</v>
      </c>
      <c r="AV662" s="3" t="s">
        <v>8471</v>
      </c>
      <c r="AW662" s="3" t="s">
        <v>8472</v>
      </c>
      <c r="AX662" s="3" t="s">
        <v>8472</v>
      </c>
      <c r="AY662" s="3" t="s">
        <v>8473</v>
      </c>
      <c r="AZ662" s="3" t="s">
        <v>75</v>
      </c>
      <c r="BC662" s="3" t="s">
        <v>8474</v>
      </c>
      <c r="BD662" s="3" t="s">
        <v>8475</v>
      </c>
    </row>
    <row r="663" spans="1:56" ht="39" customHeight="1" x14ac:dyDescent="0.25">
      <c r="A663" s="7" t="s">
        <v>58</v>
      </c>
      <c r="B663" s="2" t="s">
        <v>8464</v>
      </c>
      <c r="C663" s="2" t="s">
        <v>8465</v>
      </c>
      <c r="D663" s="2" t="s">
        <v>8466</v>
      </c>
      <c r="F663" s="3" t="s">
        <v>58</v>
      </c>
      <c r="G663" s="3" t="s">
        <v>59</v>
      </c>
      <c r="H663" s="3" t="s">
        <v>132</v>
      </c>
      <c r="I663" s="3" t="s">
        <v>58</v>
      </c>
      <c r="J663" s="3" t="s">
        <v>60</v>
      </c>
      <c r="K663" s="2" t="s">
        <v>8467</v>
      </c>
      <c r="L663" s="2" t="s">
        <v>8468</v>
      </c>
      <c r="M663" s="3" t="s">
        <v>953</v>
      </c>
      <c r="O663" s="3" t="s">
        <v>65</v>
      </c>
      <c r="P663" s="3" t="s">
        <v>954</v>
      </c>
      <c r="R663" s="3" t="s">
        <v>68</v>
      </c>
      <c r="S663" s="4">
        <v>0</v>
      </c>
      <c r="T663" s="4">
        <v>11</v>
      </c>
      <c r="V663" s="5" t="s">
        <v>8469</v>
      </c>
      <c r="W663" s="5" t="s">
        <v>7849</v>
      </c>
      <c r="X663" s="5" t="s">
        <v>7849</v>
      </c>
      <c r="Y663" s="4">
        <v>73</v>
      </c>
      <c r="Z663" s="4">
        <v>69</v>
      </c>
      <c r="AA663" s="4">
        <v>69</v>
      </c>
      <c r="AB663" s="4">
        <v>1</v>
      </c>
      <c r="AC663" s="4">
        <v>1</v>
      </c>
      <c r="AD663" s="4">
        <v>19</v>
      </c>
      <c r="AE663" s="4">
        <v>19</v>
      </c>
      <c r="AF663" s="4">
        <v>7</v>
      </c>
      <c r="AG663" s="4">
        <v>7</v>
      </c>
      <c r="AH663" s="4">
        <v>4</v>
      </c>
      <c r="AI663" s="4">
        <v>4</v>
      </c>
      <c r="AJ663" s="4">
        <v>15</v>
      </c>
      <c r="AK663" s="4">
        <v>15</v>
      </c>
      <c r="AL663" s="4">
        <v>0</v>
      </c>
      <c r="AM663" s="4">
        <v>0</v>
      </c>
      <c r="AN663" s="4">
        <v>0</v>
      </c>
      <c r="AO663" s="4">
        <v>0</v>
      </c>
      <c r="AP663" s="3" t="s">
        <v>58</v>
      </c>
      <c r="AQ663" s="3" t="s">
        <v>58</v>
      </c>
      <c r="AS663" s="6" t="str">
        <f>HYPERLINK("https://creighton-primo.hosted.exlibrisgroup.com/primo-explore/search?tab=default_tab&amp;search_scope=EVERYTHING&amp;vid=01CRU&amp;lang=en_US&amp;offset=0&amp;query=any,contains,991003734699702656","Catalog Record")</f>
        <v>Catalog Record</v>
      </c>
      <c r="AT663" s="6" t="str">
        <f>HYPERLINK("http://www.worldcat.org/oclc/1389083","WorldCat Record")</f>
        <v>WorldCat Record</v>
      </c>
      <c r="AU663" s="3" t="s">
        <v>8470</v>
      </c>
      <c r="AV663" s="3" t="s">
        <v>8471</v>
      </c>
      <c r="AW663" s="3" t="s">
        <v>8472</v>
      </c>
      <c r="AX663" s="3" t="s">
        <v>8472</v>
      </c>
      <c r="AY663" s="3" t="s">
        <v>8473</v>
      </c>
      <c r="AZ663" s="3" t="s">
        <v>75</v>
      </c>
      <c r="BC663" s="3" t="s">
        <v>8476</v>
      </c>
      <c r="BD663" s="3" t="s">
        <v>8477</v>
      </c>
    </row>
    <row r="664" spans="1:56" ht="39" customHeight="1" x14ac:dyDescent="0.25">
      <c r="A664" s="7" t="s">
        <v>58</v>
      </c>
      <c r="B664" s="2" t="s">
        <v>8478</v>
      </c>
      <c r="C664" s="2" t="s">
        <v>8479</v>
      </c>
      <c r="D664" s="2" t="s">
        <v>8480</v>
      </c>
      <c r="F664" s="3" t="s">
        <v>58</v>
      </c>
      <c r="G664" s="3" t="s">
        <v>59</v>
      </c>
      <c r="H664" s="3" t="s">
        <v>58</v>
      </c>
      <c r="I664" s="3" t="s">
        <v>58</v>
      </c>
      <c r="J664" s="3" t="s">
        <v>60</v>
      </c>
      <c r="K664" s="2" t="s">
        <v>8481</v>
      </c>
      <c r="L664" s="2" t="s">
        <v>8482</v>
      </c>
      <c r="M664" s="3" t="s">
        <v>361</v>
      </c>
      <c r="O664" s="3" t="s">
        <v>65</v>
      </c>
      <c r="P664" s="3" t="s">
        <v>186</v>
      </c>
      <c r="R664" s="3" t="s">
        <v>68</v>
      </c>
      <c r="S664" s="4">
        <v>3</v>
      </c>
      <c r="T664" s="4">
        <v>3</v>
      </c>
      <c r="U664" s="5" t="s">
        <v>8483</v>
      </c>
      <c r="V664" s="5" t="s">
        <v>8483</v>
      </c>
      <c r="W664" s="5" t="s">
        <v>6270</v>
      </c>
      <c r="X664" s="5" t="s">
        <v>6270</v>
      </c>
      <c r="Y664" s="4">
        <v>100</v>
      </c>
      <c r="Z664" s="4">
        <v>85</v>
      </c>
      <c r="AA664" s="4">
        <v>92</v>
      </c>
      <c r="AB664" s="4">
        <v>2</v>
      </c>
      <c r="AC664" s="4">
        <v>2</v>
      </c>
      <c r="AD664" s="4">
        <v>6</v>
      </c>
      <c r="AE664" s="4">
        <v>6</v>
      </c>
      <c r="AF664" s="4">
        <v>0</v>
      </c>
      <c r="AG664" s="4">
        <v>0</v>
      </c>
      <c r="AH664" s="4">
        <v>1</v>
      </c>
      <c r="AI664" s="4">
        <v>1</v>
      </c>
      <c r="AJ664" s="4">
        <v>4</v>
      </c>
      <c r="AK664" s="4">
        <v>4</v>
      </c>
      <c r="AL664" s="4">
        <v>1</v>
      </c>
      <c r="AM664" s="4">
        <v>1</v>
      </c>
      <c r="AN664" s="4">
        <v>0</v>
      </c>
      <c r="AO664" s="4">
        <v>0</v>
      </c>
      <c r="AP664" s="3" t="s">
        <v>58</v>
      </c>
      <c r="AQ664" s="3" t="s">
        <v>132</v>
      </c>
      <c r="AR664" s="6" t="str">
        <f>HYPERLINK("http://catalog.hathitrust.org/Record/006019422","HathiTrust Record")</f>
        <v>HathiTrust Record</v>
      </c>
      <c r="AS664" s="6" t="str">
        <f>HYPERLINK("https://creighton-primo.hosted.exlibrisgroup.com/primo-explore/search?tab=default_tab&amp;search_scope=EVERYTHING&amp;vid=01CRU&amp;lang=en_US&amp;offset=0&amp;query=any,contains,991000229449702656","Catalog Record")</f>
        <v>Catalog Record</v>
      </c>
      <c r="AT664" s="6" t="str">
        <f>HYPERLINK("http://www.worldcat.org/oclc/9624826","WorldCat Record")</f>
        <v>WorldCat Record</v>
      </c>
      <c r="AU664" s="3" t="s">
        <v>8484</v>
      </c>
      <c r="AV664" s="3" t="s">
        <v>8485</v>
      </c>
      <c r="AW664" s="3" t="s">
        <v>8486</v>
      </c>
      <c r="AX664" s="3" t="s">
        <v>8486</v>
      </c>
      <c r="AY664" s="3" t="s">
        <v>8487</v>
      </c>
      <c r="AZ664" s="3" t="s">
        <v>75</v>
      </c>
      <c r="BB664" s="3" t="s">
        <v>8488</v>
      </c>
      <c r="BC664" s="3" t="s">
        <v>8489</v>
      </c>
      <c r="BD664" s="3" t="s">
        <v>8490</v>
      </c>
    </row>
    <row r="665" spans="1:56" ht="39" customHeight="1" x14ac:dyDescent="0.25">
      <c r="A665" s="7" t="s">
        <v>58</v>
      </c>
      <c r="B665" s="2" t="s">
        <v>8491</v>
      </c>
      <c r="C665" s="2" t="s">
        <v>8492</v>
      </c>
      <c r="D665" s="2" t="s">
        <v>8493</v>
      </c>
      <c r="F665" s="3" t="s">
        <v>58</v>
      </c>
      <c r="G665" s="3" t="s">
        <v>59</v>
      </c>
      <c r="H665" s="3" t="s">
        <v>58</v>
      </c>
      <c r="I665" s="3" t="s">
        <v>58</v>
      </c>
      <c r="J665" s="3" t="s">
        <v>60</v>
      </c>
      <c r="L665" s="2" t="s">
        <v>619</v>
      </c>
      <c r="M665" s="3" t="s">
        <v>781</v>
      </c>
      <c r="O665" s="3" t="s">
        <v>65</v>
      </c>
      <c r="P665" s="3" t="s">
        <v>274</v>
      </c>
      <c r="R665" s="3" t="s">
        <v>68</v>
      </c>
      <c r="S665" s="4">
        <v>1</v>
      </c>
      <c r="T665" s="4">
        <v>1</v>
      </c>
      <c r="U665" s="5" t="s">
        <v>8494</v>
      </c>
      <c r="V665" s="5" t="s">
        <v>8494</v>
      </c>
      <c r="W665" s="5" t="s">
        <v>8495</v>
      </c>
      <c r="X665" s="5" t="s">
        <v>8495</v>
      </c>
      <c r="Y665" s="4">
        <v>365</v>
      </c>
      <c r="Z665" s="4">
        <v>301</v>
      </c>
      <c r="AA665" s="4">
        <v>301</v>
      </c>
      <c r="AB665" s="4">
        <v>4</v>
      </c>
      <c r="AC665" s="4">
        <v>4</v>
      </c>
      <c r="AD665" s="4">
        <v>24</v>
      </c>
      <c r="AE665" s="4">
        <v>24</v>
      </c>
      <c r="AF665" s="4">
        <v>8</v>
      </c>
      <c r="AG665" s="4">
        <v>8</v>
      </c>
      <c r="AH665" s="4">
        <v>5</v>
      </c>
      <c r="AI665" s="4">
        <v>5</v>
      </c>
      <c r="AJ665" s="4">
        <v>14</v>
      </c>
      <c r="AK665" s="4">
        <v>14</v>
      </c>
      <c r="AL665" s="4">
        <v>2</v>
      </c>
      <c r="AM665" s="4">
        <v>2</v>
      </c>
      <c r="AN665" s="4">
        <v>0</v>
      </c>
      <c r="AO665" s="4">
        <v>0</v>
      </c>
      <c r="AP665" s="3" t="s">
        <v>58</v>
      </c>
      <c r="AQ665" s="3" t="s">
        <v>58</v>
      </c>
      <c r="AS665" s="6" t="str">
        <f>HYPERLINK("https://creighton-primo.hosted.exlibrisgroup.com/primo-explore/search?tab=default_tab&amp;search_scope=EVERYTHING&amp;vid=01CRU&amp;lang=en_US&amp;offset=0&amp;query=any,contains,991000602119702656","Catalog Record")</f>
        <v>Catalog Record</v>
      </c>
      <c r="AT665" s="6" t="str">
        <f>HYPERLINK("http://www.worldcat.org/oclc/11842233","WorldCat Record")</f>
        <v>WorldCat Record</v>
      </c>
      <c r="AU665" s="3" t="s">
        <v>8496</v>
      </c>
      <c r="AV665" s="3" t="s">
        <v>8497</v>
      </c>
      <c r="AW665" s="3" t="s">
        <v>8498</v>
      </c>
      <c r="AX665" s="3" t="s">
        <v>8498</v>
      </c>
      <c r="AY665" s="3" t="s">
        <v>8499</v>
      </c>
      <c r="AZ665" s="3" t="s">
        <v>75</v>
      </c>
      <c r="BB665" s="3" t="s">
        <v>8500</v>
      </c>
      <c r="BC665" s="3" t="s">
        <v>8501</v>
      </c>
      <c r="BD665" s="3" t="s">
        <v>8502</v>
      </c>
    </row>
    <row r="666" spans="1:56" ht="39" customHeight="1" x14ac:dyDescent="0.25">
      <c r="A666" s="7" t="s">
        <v>58</v>
      </c>
      <c r="B666" s="2" t="s">
        <v>8503</v>
      </c>
      <c r="C666" s="2" t="s">
        <v>8504</v>
      </c>
      <c r="D666" s="2" t="s">
        <v>8505</v>
      </c>
      <c r="F666" s="3" t="s">
        <v>58</v>
      </c>
      <c r="G666" s="3" t="s">
        <v>59</v>
      </c>
      <c r="H666" s="3" t="s">
        <v>58</v>
      </c>
      <c r="I666" s="3" t="s">
        <v>58</v>
      </c>
      <c r="J666" s="3" t="s">
        <v>60</v>
      </c>
      <c r="K666" s="2" t="s">
        <v>8506</v>
      </c>
      <c r="L666" s="2" t="s">
        <v>8507</v>
      </c>
      <c r="M666" s="3" t="s">
        <v>273</v>
      </c>
      <c r="O666" s="3" t="s">
        <v>65</v>
      </c>
      <c r="P666" s="3" t="s">
        <v>186</v>
      </c>
      <c r="R666" s="3" t="s">
        <v>68</v>
      </c>
      <c r="S666" s="4">
        <v>8</v>
      </c>
      <c r="T666" s="4">
        <v>8</v>
      </c>
      <c r="U666" s="5" t="s">
        <v>8508</v>
      </c>
      <c r="V666" s="5" t="s">
        <v>8508</v>
      </c>
      <c r="W666" s="5" t="s">
        <v>8509</v>
      </c>
      <c r="X666" s="5" t="s">
        <v>8509</v>
      </c>
      <c r="Y666" s="4">
        <v>200</v>
      </c>
      <c r="Z666" s="4">
        <v>163</v>
      </c>
      <c r="AA666" s="4">
        <v>198</v>
      </c>
      <c r="AB666" s="4">
        <v>1</v>
      </c>
      <c r="AC666" s="4">
        <v>1</v>
      </c>
      <c r="AD666" s="4">
        <v>16</v>
      </c>
      <c r="AE666" s="4">
        <v>16</v>
      </c>
      <c r="AF666" s="4">
        <v>3</v>
      </c>
      <c r="AG666" s="4">
        <v>3</v>
      </c>
      <c r="AH666" s="4">
        <v>4</v>
      </c>
      <c r="AI666" s="4">
        <v>4</v>
      </c>
      <c r="AJ666" s="4">
        <v>12</v>
      </c>
      <c r="AK666" s="4">
        <v>12</v>
      </c>
      <c r="AL666" s="4">
        <v>0</v>
      </c>
      <c r="AM666" s="4">
        <v>0</v>
      </c>
      <c r="AN666" s="4">
        <v>0</v>
      </c>
      <c r="AO666" s="4">
        <v>0</v>
      </c>
      <c r="AP666" s="3" t="s">
        <v>58</v>
      </c>
      <c r="AQ666" s="3" t="s">
        <v>58</v>
      </c>
      <c r="AS666" s="6" t="str">
        <f>HYPERLINK("https://creighton-primo.hosted.exlibrisgroup.com/primo-explore/search?tab=default_tab&amp;search_scope=EVERYTHING&amp;vid=01CRU&amp;lang=en_US&amp;offset=0&amp;query=any,contains,991002337779702656","Catalog Record")</f>
        <v>Catalog Record</v>
      </c>
      <c r="AT666" s="6" t="str">
        <f>HYPERLINK("http://www.worldcat.org/oclc/30436766","WorldCat Record")</f>
        <v>WorldCat Record</v>
      </c>
      <c r="AU666" s="3" t="s">
        <v>8510</v>
      </c>
      <c r="AV666" s="3" t="s">
        <v>8511</v>
      </c>
      <c r="AW666" s="3" t="s">
        <v>8512</v>
      </c>
      <c r="AX666" s="3" t="s">
        <v>8512</v>
      </c>
      <c r="AY666" s="3" t="s">
        <v>8513</v>
      </c>
      <c r="AZ666" s="3" t="s">
        <v>75</v>
      </c>
      <c r="BB666" s="3" t="s">
        <v>8514</v>
      </c>
      <c r="BC666" s="3" t="s">
        <v>8515</v>
      </c>
      <c r="BD666" s="3" t="s">
        <v>8516</v>
      </c>
    </row>
    <row r="667" spans="1:56" ht="39" customHeight="1" x14ac:dyDescent="0.25">
      <c r="A667" s="7" t="s">
        <v>58</v>
      </c>
      <c r="B667" s="2" t="s">
        <v>8517</v>
      </c>
      <c r="C667" s="2" t="s">
        <v>8518</v>
      </c>
      <c r="D667" s="2" t="s">
        <v>8519</v>
      </c>
      <c r="F667" s="3" t="s">
        <v>58</v>
      </c>
      <c r="G667" s="3" t="s">
        <v>59</v>
      </c>
      <c r="H667" s="3" t="s">
        <v>58</v>
      </c>
      <c r="I667" s="3" t="s">
        <v>58</v>
      </c>
      <c r="J667" s="3" t="s">
        <v>60</v>
      </c>
      <c r="K667" s="2" t="s">
        <v>8520</v>
      </c>
      <c r="L667" s="2" t="s">
        <v>8521</v>
      </c>
      <c r="M667" s="3" t="s">
        <v>3656</v>
      </c>
      <c r="O667" s="3" t="s">
        <v>65</v>
      </c>
      <c r="P667" s="3" t="s">
        <v>346</v>
      </c>
      <c r="R667" s="3" t="s">
        <v>68</v>
      </c>
      <c r="S667" s="4">
        <v>2</v>
      </c>
      <c r="T667" s="4">
        <v>2</v>
      </c>
      <c r="U667" s="5" t="s">
        <v>5814</v>
      </c>
      <c r="V667" s="5" t="s">
        <v>5814</v>
      </c>
      <c r="W667" s="5" t="s">
        <v>5814</v>
      </c>
      <c r="X667" s="5" t="s">
        <v>5814</v>
      </c>
      <c r="Y667" s="4">
        <v>285</v>
      </c>
      <c r="Z667" s="4">
        <v>263</v>
      </c>
      <c r="AA667" s="4">
        <v>313</v>
      </c>
      <c r="AB667" s="4">
        <v>2</v>
      </c>
      <c r="AC667" s="4">
        <v>2</v>
      </c>
      <c r="AD667" s="4">
        <v>4</v>
      </c>
      <c r="AE667" s="4">
        <v>4</v>
      </c>
      <c r="AF667" s="4">
        <v>3</v>
      </c>
      <c r="AG667" s="4">
        <v>3</v>
      </c>
      <c r="AH667" s="4">
        <v>0</v>
      </c>
      <c r="AI667" s="4">
        <v>0</v>
      </c>
      <c r="AJ667" s="4">
        <v>0</v>
      </c>
      <c r="AK667" s="4">
        <v>0</v>
      </c>
      <c r="AL667" s="4">
        <v>1</v>
      </c>
      <c r="AM667" s="4">
        <v>1</v>
      </c>
      <c r="AN667" s="4">
        <v>0</v>
      </c>
      <c r="AO667" s="4">
        <v>0</v>
      </c>
      <c r="AP667" s="3" t="s">
        <v>58</v>
      </c>
      <c r="AQ667" s="3" t="s">
        <v>58</v>
      </c>
      <c r="AS667" s="6" t="str">
        <f>HYPERLINK("https://creighton-primo.hosted.exlibrisgroup.com/primo-explore/search?tab=default_tab&amp;search_scope=EVERYTHING&amp;vid=01CRU&amp;lang=en_US&amp;offset=0&amp;query=any,contains,991004264179702656","Catalog Record")</f>
        <v>Catalog Record</v>
      </c>
      <c r="AT667" s="6" t="str">
        <f>HYPERLINK("http://www.worldcat.org/oclc/37260988","WorldCat Record")</f>
        <v>WorldCat Record</v>
      </c>
      <c r="AU667" s="3" t="s">
        <v>8522</v>
      </c>
      <c r="AV667" s="3" t="s">
        <v>8523</v>
      </c>
      <c r="AW667" s="3" t="s">
        <v>8524</v>
      </c>
      <c r="AX667" s="3" t="s">
        <v>8524</v>
      </c>
      <c r="AY667" s="3" t="s">
        <v>8525</v>
      </c>
      <c r="AZ667" s="3" t="s">
        <v>75</v>
      </c>
      <c r="BB667" s="3" t="s">
        <v>8526</v>
      </c>
      <c r="BC667" s="3" t="s">
        <v>8527</v>
      </c>
      <c r="BD667" s="3" t="s">
        <v>8528</v>
      </c>
    </row>
    <row r="668" spans="1:56" ht="39" customHeight="1" x14ac:dyDescent="0.25">
      <c r="A668" s="7" t="s">
        <v>58</v>
      </c>
      <c r="B668" s="2" t="s">
        <v>8529</v>
      </c>
      <c r="C668" s="2" t="s">
        <v>8530</v>
      </c>
      <c r="D668" s="2" t="s">
        <v>8531</v>
      </c>
      <c r="F668" s="3" t="s">
        <v>58</v>
      </c>
      <c r="G668" s="3" t="s">
        <v>59</v>
      </c>
      <c r="H668" s="3" t="s">
        <v>58</v>
      </c>
      <c r="I668" s="3" t="s">
        <v>58</v>
      </c>
      <c r="J668" s="3" t="s">
        <v>60</v>
      </c>
      <c r="K668" s="2" t="s">
        <v>8532</v>
      </c>
      <c r="L668" s="2" t="s">
        <v>7308</v>
      </c>
      <c r="M668" s="3" t="s">
        <v>544</v>
      </c>
      <c r="O668" s="3" t="s">
        <v>65</v>
      </c>
      <c r="P668" s="3" t="s">
        <v>967</v>
      </c>
      <c r="R668" s="3" t="s">
        <v>68</v>
      </c>
      <c r="S668" s="4">
        <v>3</v>
      </c>
      <c r="T668" s="4">
        <v>3</v>
      </c>
      <c r="U668" s="5" t="s">
        <v>8533</v>
      </c>
      <c r="V668" s="5" t="s">
        <v>8533</v>
      </c>
      <c r="W668" s="5" t="s">
        <v>8534</v>
      </c>
      <c r="X668" s="5" t="s">
        <v>8534</v>
      </c>
      <c r="Y668" s="4">
        <v>88</v>
      </c>
      <c r="Z668" s="4">
        <v>74</v>
      </c>
      <c r="AA668" s="4">
        <v>76</v>
      </c>
      <c r="AB668" s="4">
        <v>1</v>
      </c>
      <c r="AC668" s="4">
        <v>1</v>
      </c>
      <c r="AD668" s="4">
        <v>4</v>
      </c>
      <c r="AE668" s="4">
        <v>4</v>
      </c>
      <c r="AF668" s="4">
        <v>4</v>
      </c>
      <c r="AG668" s="4">
        <v>4</v>
      </c>
      <c r="AH668" s="4">
        <v>0</v>
      </c>
      <c r="AI668" s="4">
        <v>0</v>
      </c>
      <c r="AJ668" s="4">
        <v>0</v>
      </c>
      <c r="AK668" s="4">
        <v>0</v>
      </c>
      <c r="AL668" s="4">
        <v>0</v>
      </c>
      <c r="AM668" s="4">
        <v>0</v>
      </c>
      <c r="AN668" s="4">
        <v>0</v>
      </c>
      <c r="AO668" s="4">
        <v>0</v>
      </c>
      <c r="AP668" s="3" t="s">
        <v>58</v>
      </c>
      <c r="AQ668" s="3" t="s">
        <v>58</v>
      </c>
      <c r="AS668" s="6" t="str">
        <f>HYPERLINK("https://creighton-primo.hosted.exlibrisgroup.com/primo-explore/search?tab=default_tab&amp;search_scope=EVERYTHING&amp;vid=01CRU&amp;lang=en_US&amp;offset=0&amp;query=any,contains,991004794499702656","Catalog Record")</f>
        <v>Catalog Record</v>
      </c>
      <c r="AT668" s="6" t="str">
        <f>HYPERLINK("http://www.worldcat.org/oclc/42641647","WorldCat Record")</f>
        <v>WorldCat Record</v>
      </c>
      <c r="AU668" s="3" t="s">
        <v>8535</v>
      </c>
      <c r="AV668" s="3" t="s">
        <v>8536</v>
      </c>
      <c r="AW668" s="3" t="s">
        <v>8537</v>
      </c>
      <c r="AX668" s="3" t="s">
        <v>8537</v>
      </c>
      <c r="AY668" s="3" t="s">
        <v>8538</v>
      </c>
      <c r="AZ668" s="3" t="s">
        <v>75</v>
      </c>
      <c r="BB668" s="3" t="s">
        <v>8539</v>
      </c>
      <c r="BC668" s="3" t="s">
        <v>8540</v>
      </c>
      <c r="BD668" s="3" t="s">
        <v>8541</v>
      </c>
    </row>
    <row r="669" spans="1:56" ht="39" customHeight="1" x14ac:dyDescent="0.25">
      <c r="A669" s="7" t="s">
        <v>58</v>
      </c>
      <c r="B669" s="2" t="s">
        <v>8542</v>
      </c>
      <c r="C669" s="2" t="s">
        <v>8543</v>
      </c>
      <c r="D669" s="2" t="s">
        <v>8544</v>
      </c>
      <c r="F669" s="3" t="s">
        <v>58</v>
      </c>
      <c r="G669" s="3" t="s">
        <v>59</v>
      </c>
      <c r="H669" s="3" t="s">
        <v>58</v>
      </c>
      <c r="I669" s="3" t="s">
        <v>58</v>
      </c>
      <c r="J669" s="3" t="s">
        <v>60</v>
      </c>
      <c r="K669" s="2" t="s">
        <v>8545</v>
      </c>
      <c r="L669" s="2" t="s">
        <v>8546</v>
      </c>
      <c r="M669" s="3" t="s">
        <v>374</v>
      </c>
      <c r="O669" s="3" t="s">
        <v>65</v>
      </c>
      <c r="P669" s="3" t="s">
        <v>186</v>
      </c>
      <c r="R669" s="3" t="s">
        <v>68</v>
      </c>
      <c r="S669" s="4">
        <v>4</v>
      </c>
      <c r="T669" s="4">
        <v>4</v>
      </c>
      <c r="U669" s="5" t="s">
        <v>8547</v>
      </c>
      <c r="V669" s="5" t="s">
        <v>8547</v>
      </c>
      <c r="W669" s="5" t="s">
        <v>8548</v>
      </c>
      <c r="X669" s="5" t="s">
        <v>8548</v>
      </c>
      <c r="Y669" s="4">
        <v>111</v>
      </c>
      <c r="Z669" s="4">
        <v>103</v>
      </c>
      <c r="AA669" s="4">
        <v>109</v>
      </c>
      <c r="AB669" s="4">
        <v>2</v>
      </c>
      <c r="AC669" s="4">
        <v>2</v>
      </c>
      <c r="AD669" s="4">
        <v>9</v>
      </c>
      <c r="AE669" s="4">
        <v>9</v>
      </c>
      <c r="AF669" s="4">
        <v>2</v>
      </c>
      <c r="AG669" s="4">
        <v>2</v>
      </c>
      <c r="AH669" s="4">
        <v>2</v>
      </c>
      <c r="AI669" s="4">
        <v>2</v>
      </c>
      <c r="AJ669" s="4">
        <v>6</v>
      </c>
      <c r="AK669" s="4">
        <v>6</v>
      </c>
      <c r="AL669" s="4">
        <v>0</v>
      </c>
      <c r="AM669" s="4">
        <v>0</v>
      </c>
      <c r="AN669" s="4">
        <v>0</v>
      </c>
      <c r="AO669" s="4">
        <v>0</v>
      </c>
      <c r="AP669" s="3" t="s">
        <v>58</v>
      </c>
      <c r="AQ669" s="3" t="s">
        <v>58</v>
      </c>
      <c r="AS669" s="6" t="str">
        <f>HYPERLINK("https://creighton-primo.hosted.exlibrisgroup.com/primo-explore/search?tab=default_tab&amp;search_scope=EVERYTHING&amp;vid=01CRU&amp;lang=en_US&amp;offset=0&amp;query=any,contains,991002509789702656","Catalog Record")</f>
        <v>Catalog Record</v>
      </c>
      <c r="AT669" s="6" t="str">
        <f>HYPERLINK("http://www.worldcat.org/oclc/32627620","WorldCat Record")</f>
        <v>WorldCat Record</v>
      </c>
      <c r="AU669" s="3" t="s">
        <v>8549</v>
      </c>
      <c r="AV669" s="3" t="s">
        <v>8550</v>
      </c>
      <c r="AW669" s="3" t="s">
        <v>8551</v>
      </c>
      <c r="AX669" s="3" t="s">
        <v>8551</v>
      </c>
      <c r="AY669" s="3" t="s">
        <v>8552</v>
      </c>
      <c r="AZ669" s="3" t="s">
        <v>75</v>
      </c>
      <c r="BB669" s="3" t="s">
        <v>8553</v>
      </c>
      <c r="BC669" s="3" t="s">
        <v>8554</v>
      </c>
      <c r="BD669" s="3" t="s">
        <v>8555</v>
      </c>
    </row>
    <row r="670" spans="1:56" ht="39" customHeight="1" x14ac:dyDescent="0.25">
      <c r="A670" s="7" t="s">
        <v>58</v>
      </c>
      <c r="B670" s="2" t="s">
        <v>8556</v>
      </c>
      <c r="C670" s="2" t="s">
        <v>8557</v>
      </c>
      <c r="D670" s="2" t="s">
        <v>8558</v>
      </c>
      <c r="F670" s="3" t="s">
        <v>58</v>
      </c>
      <c r="G670" s="3" t="s">
        <v>59</v>
      </c>
      <c r="H670" s="3" t="s">
        <v>58</v>
      </c>
      <c r="I670" s="3" t="s">
        <v>58</v>
      </c>
      <c r="J670" s="3" t="s">
        <v>60</v>
      </c>
      <c r="L670" s="2" t="s">
        <v>8559</v>
      </c>
      <c r="M670" s="3" t="s">
        <v>185</v>
      </c>
      <c r="N670" s="2" t="s">
        <v>476</v>
      </c>
      <c r="O670" s="3" t="s">
        <v>65</v>
      </c>
      <c r="P670" s="3" t="s">
        <v>477</v>
      </c>
      <c r="R670" s="3" t="s">
        <v>68</v>
      </c>
      <c r="S670" s="4">
        <v>2</v>
      </c>
      <c r="T670" s="4">
        <v>2</v>
      </c>
      <c r="U670" s="5" t="s">
        <v>8560</v>
      </c>
      <c r="V670" s="5" t="s">
        <v>8560</v>
      </c>
      <c r="W670" s="5" t="s">
        <v>8560</v>
      </c>
      <c r="X670" s="5" t="s">
        <v>8560</v>
      </c>
      <c r="Y670" s="4">
        <v>298</v>
      </c>
      <c r="Z670" s="4">
        <v>235</v>
      </c>
      <c r="AA670" s="4">
        <v>241</v>
      </c>
      <c r="AB670" s="4">
        <v>4</v>
      </c>
      <c r="AC670" s="4">
        <v>4</v>
      </c>
      <c r="AD670" s="4">
        <v>14</v>
      </c>
      <c r="AE670" s="4">
        <v>14</v>
      </c>
      <c r="AF670" s="4">
        <v>5</v>
      </c>
      <c r="AG670" s="4">
        <v>5</v>
      </c>
      <c r="AH670" s="4">
        <v>2</v>
      </c>
      <c r="AI670" s="4">
        <v>2</v>
      </c>
      <c r="AJ670" s="4">
        <v>6</v>
      </c>
      <c r="AK670" s="4">
        <v>6</v>
      </c>
      <c r="AL670" s="4">
        <v>3</v>
      </c>
      <c r="AM670" s="4">
        <v>3</v>
      </c>
      <c r="AN670" s="4">
        <v>0</v>
      </c>
      <c r="AO670" s="4">
        <v>0</v>
      </c>
      <c r="AP670" s="3" t="s">
        <v>58</v>
      </c>
      <c r="AQ670" s="3" t="s">
        <v>132</v>
      </c>
      <c r="AR670" s="6" t="str">
        <f>HYPERLINK("http://catalog.hathitrust.org/Record/102007958","HathiTrust Record")</f>
        <v>HathiTrust Record</v>
      </c>
      <c r="AS670" s="6" t="str">
        <f>HYPERLINK("https://creighton-primo.hosted.exlibrisgroup.com/primo-explore/search?tab=default_tab&amp;search_scope=EVERYTHING&amp;vid=01CRU&amp;lang=en_US&amp;offset=0&amp;query=any,contains,991004780649702656","Catalog Record")</f>
        <v>Catalog Record</v>
      </c>
      <c r="AT670" s="6" t="str">
        <f>HYPERLINK("http://www.worldcat.org/oclc/42680477","WorldCat Record")</f>
        <v>WorldCat Record</v>
      </c>
      <c r="AU670" s="3" t="s">
        <v>8561</v>
      </c>
      <c r="AV670" s="3" t="s">
        <v>8562</v>
      </c>
      <c r="AW670" s="3" t="s">
        <v>8563</v>
      </c>
      <c r="AX670" s="3" t="s">
        <v>8563</v>
      </c>
      <c r="AY670" s="3" t="s">
        <v>8564</v>
      </c>
      <c r="AZ670" s="3" t="s">
        <v>75</v>
      </c>
      <c r="BB670" s="3" t="s">
        <v>8565</v>
      </c>
      <c r="BC670" s="3" t="s">
        <v>8566</v>
      </c>
      <c r="BD670" s="3" t="s">
        <v>8567</v>
      </c>
    </row>
    <row r="671" spans="1:56" ht="39" customHeight="1" x14ac:dyDescent="0.25">
      <c r="A671" s="7" t="s">
        <v>58</v>
      </c>
      <c r="B671" s="2" t="s">
        <v>8568</v>
      </c>
      <c r="C671" s="2" t="s">
        <v>8569</v>
      </c>
      <c r="D671" s="2" t="s">
        <v>8570</v>
      </c>
      <c r="F671" s="3" t="s">
        <v>58</v>
      </c>
      <c r="G671" s="3" t="s">
        <v>59</v>
      </c>
      <c r="H671" s="3" t="s">
        <v>58</v>
      </c>
      <c r="I671" s="3" t="s">
        <v>58</v>
      </c>
      <c r="J671" s="3" t="s">
        <v>60</v>
      </c>
      <c r="L671" s="2" t="s">
        <v>8571</v>
      </c>
      <c r="M671" s="3" t="s">
        <v>1302</v>
      </c>
      <c r="N671" s="2" t="s">
        <v>476</v>
      </c>
      <c r="O671" s="3" t="s">
        <v>65</v>
      </c>
      <c r="P671" s="3" t="s">
        <v>477</v>
      </c>
      <c r="R671" s="3" t="s">
        <v>68</v>
      </c>
      <c r="S671" s="4">
        <v>3</v>
      </c>
      <c r="T671" s="4">
        <v>3</v>
      </c>
      <c r="U671" s="5" t="s">
        <v>8572</v>
      </c>
      <c r="V671" s="5" t="s">
        <v>8572</v>
      </c>
      <c r="W671" s="5" t="s">
        <v>8573</v>
      </c>
      <c r="X671" s="5" t="s">
        <v>8573</v>
      </c>
      <c r="Y671" s="4">
        <v>147</v>
      </c>
      <c r="Z671" s="4">
        <v>110</v>
      </c>
      <c r="AA671" s="4">
        <v>115</v>
      </c>
      <c r="AB671" s="4">
        <v>1</v>
      </c>
      <c r="AC671" s="4">
        <v>1</v>
      </c>
      <c r="AD671" s="4">
        <v>7</v>
      </c>
      <c r="AE671" s="4">
        <v>7</v>
      </c>
      <c r="AF671" s="4">
        <v>1</v>
      </c>
      <c r="AG671" s="4">
        <v>1</v>
      </c>
      <c r="AH671" s="4">
        <v>3</v>
      </c>
      <c r="AI671" s="4">
        <v>3</v>
      </c>
      <c r="AJ671" s="4">
        <v>5</v>
      </c>
      <c r="AK671" s="4">
        <v>5</v>
      </c>
      <c r="AL671" s="4">
        <v>0</v>
      </c>
      <c r="AM671" s="4">
        <v>0</v>
      </c>
      <c r="AN671" s="4">
        <v>0</v>
      </c>
      <c r="AO671" s="4">
        <v>0</v>
      </c>
      <c r="AP671" s="3" t="s">
        <v>58</v>
      </c>
      <c r="AQ671" s="3" t="s">
        <v>58</v>
      </c>
      <c r="AS671" s="6" t="str">
        <f>HYPERLINK("https://creighton-primo.hosted.exlibrisgroup.com/primo-explore/search?tab=default_tab&amp;search_scope=EVERYTHING&amp;vid=01CRU&amp;lang=en_US&amp;offset=0&amp;query=any,contains,991004517149702656","Catalog Record")</f>
        <v>Catalog Record</v>
      </c>
      <c r="AT671" s="6" t="str">
        <f>HYPERLINK("http://www.worldcat.org/oclc/50272470","WorldCat Record")</f>
        <v>WorldCat Record</v>
      </c>
      <c r="AU671" s="3" t="s">
        <v>8574</v>
      </c>
      <c r="AV671" s="3" t="s">
        <v>8575</v>
      </c>
      <c r="AW671" s="3" t="s">
        <v>8576</v>
      </c>
      <c r="AX671" s="3" t="s">
        <v>8576</v>
      </c>
      <c r="AY671" s="3" t="s">
        <v>8577</v>
      </c>
      <c r="AZ671" s="3" t="s">
        <v>75</v>
      </c>
      <c r="BB671" s="3" t="s">
        <v>8578</v>
      </c>
      <c r="BC671" s="3" t="s">
        <v>8579</v>
      </c>
      <c r="BD671" s="3" t="s">
        <v>8580</v>
      </c>
    </row>
    <row r="672" spans="1:56" ht="39" customHeight="1" x14ac:dyDescent="0.25">
      <c r="A672" s="7" t="s">
        <v>58</v>
      </c>
      <c r="B672" s="2" t="s">
        <v>8581</v>
      </c>
      <c r="C672" s="2" t="s">
        <v>8582</v>
      </c>
      <c r="D672" s="2" t="s">
        <v>8583</v>
      </c>
      <c r="F672" s="3" t="s">
        <v>58</v>
      </c>
      <c r="G672" s="3" t="s">
        <v>59</v>
      </c>
      <c r="H672" s="3" t="s">
        <v>58</v>
      </c>
      <c r="I672" s="3" t="s">
        <v>58</v>
      </c>
      <c r="J672" s="3" t="s">
        <v>60</v>
      </c>
      <c r="K672" s="2" t="s">
        <v>8584</v>
      </c>
      <c r="L672" s="2" t="s">
        <v>8585</v>
      </c>
      <c r="M672" s="3" t="s">
        <v>185</v>
      </c>
      <c r="O672" s="3" t="s">
        <v>65</v>
      </c>
      <c r="P672" s="3" t="s">
        <v>304</v>
      </c>
      <c r="R672" s="3" t="s">
        <v>68</v>
      </c>
      <c r="S672" s="4">
        <v>1</v>
      </c>
      <c r="T672" s="4">
        <v>1</v>
      </c>
      <c r="U672" s="5" t="s">
        <v>5814</v>
      </c>
      <c r="V672" s="5" t="s">
        <v>5814</v>
      </c>
      <c r="W672" s="5" t="s">
        <v>5814</v>
      </c>
      <c r="X672" s="5" t="s">
        <v>5814</v>
      </c>
      <c r="Y672" s="4">
        <v>53</v>
      </c>
      <c r="Z672" s="4">
        <v>48</v>
      </c>
      <c r="AA672" s="4">
        <v>53</v>
      </c>
      <c r="AB672" s="4">
        <v>1</v>
      </c>
      <c r="AC672" s="4">
        <v>1</v>
      </c>
      <c r="AD672" s="4">
        <v>3</v>
      </c>
      <c r="AE672" s="4">
        <v>3</v>
      </c>
      <c r="AF672" s="4">
        <v>0</v>
      </c>
      <c r="AG672" s="4">
        <v>0</v>
      </c>
      <c r="AH672" s="4">
        <v>1</v>
      </c>
      <c r="AI672" s="4">
        <v>1</v>
      </c>
      <c r="AJ672" s="4">
        <v>2</v>
      </c>
      <c r="AK672" s="4">
        <v>2</v>
      </c>
      <c r="AL672" s="4">
        <v>0</v>
      </c>
      <c r="AM672" s="4">
        <v>0</v>
      </c>
      <c r="AN672" s="4">
        <v>0</v>
      </c>
      <c r="AO672" s="4">
        <v>0</v>
      </c>
      <c r="AP672" s="3" t="s">
        <v>58</v>
      </c>
      <c r="AQ672" s="3" t="s">
        <v>58</v>
      </c>
      <c r="AS672" s="6" t="str">
        <f>HYPERLINK("https://creighton-primo.hosted.exlibrisgroup.com/primo-explore/search?tab=default_tab&amp;search_scope=EVERYTHING&amp;vid=01CRU&amp;lang=en_US&amp;offset=0&amp;query=any,contains,991004263819702656","Catalog Record")</f>
        <v>Catalog Record</v>
      </c>
      <c r="AT672" s="6" t="str">
        <f>HYPERLINK("http://www.worldcat.org/oclc/42652553","WorldCat Record")</f>
        <v>WorldCat Record</v>
      </c>
      <c r="AU672" s="3" t="s">
        <v>8586</v>
      </c>
      <c r="AV672" s="3" t="s">
        <v>8587</v>
      </c>
      <c r="AW672" s="3" t="s">
        <v>8588</v>
      </c>
      <c r="AX672" s="3" t="s">
        <v>8588</v>
      </c>
      <c r="AY672" s="3" t="s">
        <v>8589</v>
      </c>
      <c r="AZ672" s="3" t="s">
        <v>75</v>
      </c>
      <c r="BB672" s="3" t="s">
        <v>8590</v>
      </c>
      <c r="BC672" s="3" t="s">
        <v>8591</v>
      </c>
      <c r="BD672" s="3" t="s">
        <v>8592</v>
      </c>
    </row>
    <row r="673" spans="1:56" ht="39" customHeight="1" x14ac:dyDescent="0.25">
      <c r="A673" s="7" t="s">
        <v>58</v>
      </c>
      <c r="B673" s="2" t="s">
        <v>8593</v>
      </c>
      <c r="C673" s="2" t="s">
        <v>8594</v>
      </c>
      <c r="D673" s="2" t="s">
        <v>8595</v>
      </c>
      <c r="F673" s="3" t="s">
        <v>58</v>
      </c>
      <c r="G673" s="3" t="s">
        <v>59</v>
      </c>
      <c r="H673" s="3" t="s">
        <v>58</v>
      </c>
      <c r="I673" s="3" t="s">
        <v>58</v>
      </c>
      <c r="J673" s="3" t="s">
        <v>60</v>
      </c>
      <c r="K673" s="2" t="s">
        <v>8596</v>
      </c>
      <c r="L673" s="2" t="s">
        <v>8597</v>
      </c>
      <c r="M673" s="3" t="s">
        <v>185</v>
      </c>
      <c r="O673" s="3" t="s">
        <v>65</v>
      </c>
      <c r="P673" s="3" t="s">
        <v>967</v>
      </c>
      <c r="R673" s="3" t="s">
        <v>68</v>
      </c>
      <c r="S673" s="4">
        <v>1</v>
      </c>
      <c r="T673" s="4">
        <v>1</v>
      </c>
      <c r="U673" s="5" t="s">
        <v>8598</v>
      </c>
      <c r="V673" s="5" t="s">
        <v>8598</v>
      </c>
      <c r="W673" s="5" t="s">
        <v>8598</v>
      </c>
      <c r="X673" s="5" t="s">
        <v>8598</v>
      </c>
      <c r="Y673" s="4">
        <v>399</v>
      </c>
      <c r="Z673" s="4">
        <v>356</v>
      </c>
      <c r="AA673" s="4">
        <v>527</v>
      </c>
      <c r="AB673" s="4">
        <v>5</v>
      </c>
      <c r="AC673" s="4">
        <v>7</v>
      </c>
      <c r="AD673" s="4">
        <v>16</v>
      </c>
      <c r="AE673" s="4">
        <v>23</v>
      </c>
      <c r="AF673" s="4">
        <v>5</v>
      </c>
      <c r="AG673" s="4">
        <v>8</v>
      </c>
      <c r="AH673" s="4">
        <v>2</v>
      </c>
      <c r="AI673" s="4">
        <v>5</v>
      </c>
      <c r="AJ673" s="4">
        <v>6</v>
      </c>
      <c r="AK673" s="4">
        <v>7</v>
      </c>
      <c r="AL673" s="4">
        <v>4</v>
      </c>
      <c r="AM673" s="4">
        <v>6</v>
      </c>
      <c r="AN673" s="4">
        <v>0</v>
      </c>
      <c r="AO673" s="4">
        <v>0</v>
      </c>
      <c r="AP673" s="3" t="s">
        <v>58</v>
      </c>
      <c r="AQ673" s="3" t="s">
        <v>58</v>
      </c>
      <c r="AS673" s="6" t="str">
        <f>HYPERLINK("https://creighton-primo.hosted.exlibrisgroup.com/primo-explore/search?tab=default_tab&amp;search_scope=EVERYTHING&amp;vid=01CRU&amp;lang=en_US&amp;offset=0&amp;query=any,contains,991004780789702656","Catalog Record")</f>
        <v>Catalog Record</v>
      </c>
      <c r="AT673" s="6" t="str">
        <f>HYPERLINK("http://www.worldcat.org/oclc/44313319","WorldCat Record")</f>
        <v>WorldCat Record</v>
      </c>
      <c r="AU673" s="3" t="s">
        <v>8599</v>
      </c>
      <c r="AV673" s="3" t="s">
        <v>8600</v>
      </c>
      <c r="AW673" s="3" t="s">
        <v>8601</v>
      </c>
      <c r="AX673" s="3" t="s">
        <v>8601</v>
      </c>
      <c r="AY673" s="3" t="s">
        <v>8602</v>
      </c>
      <c r="AZ673" s="3" t="s">
        <v>75</v>
      </c>
      <c r="BB673" s="3" t="s">
        <v>8603</v>
      </c>
      <c r="BC673" s="3" t="s">
        <v>8604</v>
      </c>
      <c r="BD673" s="3" t="s">
        <v>8605</v>
      </c>
    </row>
    <row r="674" spans="1:56" ht="39" customHeight="1" x14ac:dyDescent="0.25">
      <c r="A674" s="7" t="s">
        <v>58</v>
      </c>
      <c r="B674" s="2" t="s">
        <v>8606</v>
      </c>
      <c r="C674" s="2" t="s">
        <v>8607</v>
      </c>
      <c r="D674" s="2" t="s">
        <v>8608</v>
      </c>
      <c r="F674" s="3" t="s">
        <v>58</v>
      </c>
      <c r="G674" s="3" t="s">
        <v>59</v>
      </c>
      <c r="H674" s="3" t="s">
        <v>58</v>
      </c>
      <c r="I674" s="3" t="s">
        <v>58</v>
      </c>
      <c r="J674" s="3" t="s">
        <v>60</v>
      </c>
      <c r="K674" s="2" t="s">
        <v>8609</v>
      </c>
      <c r="L674" s="2" t="s">
        <v>8610</v>
      </c>
      <c r="M674" s="3" t="s">
        <v>144</v>
      </c>
      <c r="O674" s="3" t="s">
        <v>65</v>
      </c>
      <c r="P674" s="3" t="s">
        <v>84</v>
      </c>
      <c r="Q674" s="2" t="s">
        <v>8611</v>
      </c>
      <c r="R674" s="3" t="s">
        <v>68</v>
      </c>
      <c r="S674" s="4">
        <v>1</v>
      </c>
      <c r="T674" s="4">
        <v>1</v>
      </c>
      <c r="U674" s="5" t="s">
        <v>4189</v>
      </c>
      <c r="V674" s="5" t="s">
        <v>4189</v>
      </c>
      <c r="W674" s="5" t="s">
        <v>3989</v>
      </c>
      <c r="X674" s="5" t="s">
        <v>3989</v>
      </c>
      <c r="Y674" s="4">
        <v>702</v>
      </c>
      <c r="Z674" s="4">
        <v>637</v>
      </c>
      <c r="AA674" s="4">
        <v>643</v>
      </c>
      <c r="AB674" s="4">
        <v>3</v>
      </c>
      <c r="AC674" s="4">
        <v>3</v>
      </c>
      <c r="AD674" s="4">
        <v>29</v>
      </c>
      <c r="AE674" s="4">
        <v>29</v>
      </c>
      <c r="AF674" s="4">
        <v>14</v>
      </c>
      <c r="AG674" s="4">
        <v>14</v>
      </c>
      <c r="AH674" s="4">
        <v>6</v>
      </c>
      <c r="AI674" s="4">
        <v>6</v>
      </c>
      <c r="AJ674" s="4">
        <v>12</v>
      </c>
      <c r="AK674" s="4">
        <v>12</v>
      </c>
      <c r="AL674" s="4">
        <v>2</v>
      </c>
      <c r="AM674" s="4">
        <v>2</v>
      </c>
      <c r="AN674" s="4">
        <v>0</v>
      </c>
      <c r="AO674" s="4">
        <v>0</v>
      </c>
      <c r="AP674" s="3" t="s">
        <v>58</v>
      </c>
      <c r="AQ674" s="3" t="s">
        <v>132</v>
      </c>
      <c r="AR674" s="6" t="str">
        <f>HYPERLINK("http://catalog.hathitrust.org/Record/000256500","HathiTrust Record")</f>
        <v>HathiTrust Record</v>
      </c>
      <c r="AS674" s="6" t="str">
        <f>HYPERLINK("https://creighton-primo.hosted.exlibrisgroup.com/primo-explore/search?tab=default_tab&amp;search_scope=EVERYTHING&amp;vid=01CRU&amp;lang=en_US&amp;offset=0&amp;query=any,contains,991004660419702656","Catalog Record")</f>
        <v>Catalog Record</v>
      </c>
      <c r="AT674" s="6" t="str">
        <f>HYPERLINK("http://www.worldcat.org/oclc/4496597","WorldCat Record")</f>
        <v>WorldCat Record</v>
      </c>
      <c r="AU674" s="3" t="s">
        <v>8612</v>
      </c>
      <c r="AV674" s="3" t="s">
        <v>8613</v>
      </c>
      <c r="AW674" s="3" t="s">
        <v>8614</v>
      </c>
      <c r="AX674" s="3" t="s">
        <v>8614</v>
      </c>
      <c r="AY674" s="3" t="s">
        <v>8615</v>
      </c>
      <c r="AZ674" s="3" t="s">
        <v>75</v>
      </c>
      <c r="BB674" s="3" t="s">
        <v>8616</v>
      </c>
      <c r="BC674" s="3" t="s">
        <v>8617</v>
      </c>
      <c r="BD674" s="3" t="s">
        <v>8618</v>
      </c>
    </row>
    <row r="675" spans="1:56" ht="39" customHeight="1" x14ac:dyDescent="0.25">
      <c r="A675" s="7" t="s">
        <v>58</v>
      </c>
      <c r="B675" s="2" t="s">
        <v>8619</v>
      </c>
      <c r="C675" s="2" t="s">
        <v>8620</v>
      </c>
      <c r="D675" s="2" t="s">
        <v>8621</v>
      </c>
      <c r="F675" s="3" t="s">
        <v>58</v>
      </c>
      <c r="G675" s="3" t="s">
        <v>59</v>
      </c>
      <c r="H675" s="3" t="s">
        <v>58</v>
      </c>
      <c r="I675" s="3" t="s">
        <v>58</v>
      </c>
      <c r="J675" s="3" t="s">
        <v>60</v>
      </c>
      <c r="K675" s="2" t="s">
        <v>8622</v>
      </c>
      <c r="L675" s="2" t="s">
        <v>8623</v>
      </c>
      <c r="M675" s="3" t="s">
        <v>98</v>
      </c>
      <c r="O675" s="3" t="s">
        <v>65</v>
      </c>
      <c r="P675" s="3" t="s">
        <v>954</v>
      </c>
      <c r="Q675" s="2" t="s">
        <v>8624</v>
      </c>
      <c r="R675" s="3" t="s">
        <v>68</v>
      </c>
      <c r="S675" s="4">
        <v>3</v>
      </c>
      <c r="T675" s="4">
        <v>3</v>
      </c>
      <c r="U675" s="5" t="s">
        <v>8625</v>
      </c>
      <c r="V675" s="5" t="s">
        <v>8625</v>
      </c>
      <c r="W675" s="5" t="s">
        <v>7849</v>
      </c>
      <c r="X675" s="5" t="s">
        <v>7849</v>
      </c>
      <c r="Y675" s="4">
        <v>184</v>
      </c>
      <c r="Z675" s="4">
        <v>172</v>
      </c>
      <c r="AA675" s="4">
        <v>253</v>
      </c>
      <c r="AB675" s="4">
        <v>2</v>
      </c>
      <c r="AC675" s="4">
        <v>2</v>
      </c>
      <c r="AD675" s="4">
        <v>11</v>
      </c>
      <c r="AE675" s="4">
        <v>14</v>
      </c>
      <c r="AF675" s="4">
        <v>4</v>
      </c>
      <c r="AG675" s="4">
        <v>5</v>
      </c>
      <c r="AH675" s="4">
        <v>2</v>
      </c>
      <c r="AI675" s="4">
        <v>3</v>
      </c>
      <c r="AJ675" s="4">
        <v>7</v>
      </c>
      <c r="AK675" s="4">
        <v>9</v>
      </c>
      <c r="AL675" s="4">
        <v>1</v>
      </c>
      <c r="AM675" s="4">
        <v>1</v>
      </c>
      <c r="AN675" s="4">
        <v>0</v>
      </c>
      <c r="AO675" s="4">
        <v>0</v>
      </c>
      <c r="AP675" s="3" t="s">
        <v>58</v>
      </c>
      <c r="AQ675" s="3" t="s">
        <v>58</v>
      </c>
      <c r="AS675" s="6" t="str">
        <f>HYPERLINK("https://creighton-primo.hosted.exlibrisgroup.com/primo-explore/search?tab=default_tab&amp;search_scope=EVERYTHING&amp;vid=01CRU&amp;lang=en_US&amp;offset=0&amp;query=any,contains,991002649639702656","Catalog Record")</f>
        <v>Catalog Record</v>
      </c>
      <c r="AT675" s="6" t="str">
        <f>HYPERLINK("http://www.worldcat.org/oclc/386705","WorldCat Record")</f>
        <v>WorldCat Record</v>
      </c>
      <c r="AU675" s="3" t="s">
        <v>8626</v>
      </c>
      <c r="AV675" s="3" t="s">
        <v>8627</v>
      </c>
      <c r="AW675" s="3" t="s">
        <v>8628</v>
      </c>
      <c r="AX675" s="3" t="s">
        <v>8628</v>
      </c>
      <c r="AY675" s="3" t="s">
        <v>8629</v>
      </c>
      <c r="AZ675" s="3" t="s">
        <v>75</v>
      </c>
      <c r="BC675" s="3" t="s">
        <v>8630</v>
      </c>
      <c r="BD675" s="3" t="s">
        <v>8631</v>
      </c>
    </row>
    <row r="676" spans="1:56" ht="39" customHeight="1" x14ac:dyDescent="0.25">
      <c r="A676" s="7" t="s">
        <v>58</v>
      </c>
      <c r="B676" s="2" t="s">
        <v>8632</v>
      </c>
      <c r="C676" s="2" t="s">
        <v>8633</v>
      </c>
      <c r="D676" s="2" t="s">
        <v>8634</v>
      </c>
      <c r="F676" s="3" t="s">
        <v>58</v>
      </c>
      <c r="G676" s="3" t="s">
        <v>59</v>
      </c>
      <c r="H676" s="3" t="s">
        <v>58</v>
      </c>
      <c r="I676" s="3" t="s">
        <v>58</v>
      </c>
      <c r="J676" s="3" t="s">
        <v>60</v>
      </c>
      <c r="K676" s="2" t="s">
        <v>8635</v>
      </c>
      <c r="L676" s="2" t="s">
        <v>8636</v>
      </c>
      <c r="M676" s="3" t="s">
        <v>289</v>
      </c>
      <c r="O676" s="3" t="s">
        <v>65</v>
      </c>
      <c r="P676" s="3" t="s">
        <v>274</v>
      </c>
      <c r="R676" s="3" t="s">
        <v>68</v>
      </c>
      <c r="S676" s="4">
        <v>3</v>
      </c>
      <c r="T676" s="4">
        <v>3</v>
      </c>
      <c r="U676" s="5" t="s">
        <v>8637</v>
      </c>
      <c r="V676" s="5" t="s">
        <v>8637</v>
      </c>
      <c r="W676" s="5" t="s">
        <v>8638</v>
      </c>
      <c r="X676" s="5" t="s">
        <v>8638</v>
      </c>
      <c r="Y676" s="4">
        <v>402</v>
      </c>
      <c r="Z676" s="4">
        <v>344</v>
      </c>
      <c r="AA676" s="4">
        <v>356</v>
      </c>
      <c r="AB676" s="4">
        <v>4</v>
      </c>
      <c r="AC676" s="4">
        <v>4</v>
      </c>
      <c r="AD676" s="4">
        <v>32</v>
      </c>
      <c r="AE676" s="4">
        <v>32</v>
      </c>
      <c r="AF676" s="4">
        <v>12</v>
      </c>
      <c r="AG676" s="4">
        <v>12</v>
      </c>
      <c r="AH676" s="4">
        <v>7</v>
      </c>
      <c r="AI676" s="4">
        <v>7</v>
      </c>
      <c r="AJ676" s="4">
        <v>20</v>
      </c>
      <c r="AK676" s="4">
        <v>20</v>
      </c>
      <c r="AL676" s="4">
        <v>3</v>
      </c>
      <c r="AM676" s="4">
        <v>3</v>
      </c>
      <c r="AN676" s="4">
        <v>0</v>
      </c>
      <c r="AO676" s="4">
        <v>0</v>
      </c>
      <c r="AP676" s="3" t="s">
        <v>58</v>
      </c>
      <c r="AQ676" s="3" t="s">
        <v>58</v>
      </c>
      <c r="AS676" s="6" t="str">
        <f>HYPERLINK("https://creighton-primo.hosted.exlibrisgroup.com/primo-explore/search?tab=default_tab&amp;search_scope=EVERYTHING&amp;vid=01CRU&amp;lang=en_US&amp;offset=0&amp;query=any,contains,991005011019702656","Catalog Record")</f>
        <v>Catalog Record</v>
      </c>
      <c r="AT676" s="6" t="str">
        <f>HYPERLINK("http://www.worldcat.org/oclc/6602821","WorldCat Record")</f>
        <v>WorldCat Record</v>
      </c>
      <c r="AU676" s="3" t="s">
        <v>8639</v>
      </c>
      <c r="AV676" s="3" t="s">
        <v>8640</v>
      </c>
      <c r="AW676" s="3" t="s">
        <v>8641</v>
      </c>
      <c r="AX676" s="3" t="s">
        <v>8641</v>
      </c>
      <c r="AY676" s="3" t="s">
        <v>8642</v>
      </c>
      <c r="AZ676" s="3" t="s">
        <v>75</v>
      </c>
      <c r="BB676" s="3" t="s">
        <v>8643</v>
      </c>
      <c r="BC676" s="3" t="s">
        <v>8644</v>
      </c>
      <c r="BD676" s="3" t="s">
        <v>8645</v>
      </c>
    </row>
    <row r="677" spans="1:56" ht="39" customHeight="1" x14ac:dyDescent="0.25">
      <c r="A677" s="7" t="s">
        <v>58</v>
      </c>
      <c r="B677" s="2" t="s">
        <v>8646</v>
      </c>
      <c r="C677" s="2" t="s">
        <v>8647</v>
      </c>
      <c r="D677" s="2" t="s">
        <v>8648</v>
      </c>
      <c r="F677" s="3" t="s">
        <v>58</v>
      </c>
      <c r="G677" s="3" t="s">
        <v>59</v>
      </c>
      <c r="H677" s="3" t="s">
        <v>58</v>
      </c>
      <c r="I677" s="3" t="s">
        <v>58</v>
      </c>
      <c r="J677" s="3" t="s">
        <v>60</v>
      </c>
      <c r="K677" s="2" t="s">
        <v>8649</v>
      </c>
      <c r="L677" s="2" t="s">
        <v>8650</v>
      </c>
      <c r="M677" s="3" t="s">
        <v>631</v>
      </c>
      <c r="O677" s="3" t="s">
        <v>65</v>
      </c>
      <c r="P677" s="3" t="s">
        <v>84</v>
      </c>
      <c r="R677" s="3" t="s">
        <v>68</v>
      </c>
      <c r="S677" s="4">
        <v>2</v>
      </c>
      <c r="T677" s="4">
        <v>2</v>
      </c>
      <c r="U677" s="5" t="s">
        <v>8651</v>
      </c>
      <c r="V677" s="5" t="s">
        <v>8651</v>
      </c>
      <c r="W677" s="5" t="s">
        <v>8638</v>
      </c>
      <c r="X677" s="5" t="s">
        <v>8638</v>
      </c>
      <c r="Y677" s="4">
        <v>145</v>
      </c>
      <c r="Z677" s="4">
        <v>136</v>
      </c>
      <c r="AA677" s="4">
        <v>142</v>
      </c>
      <c r="AB677" s="4">
        <v>2</v>
      </c>
      <c r="AC677" s="4">
        <v>2</v>
      </c>
      <c r="AD677" s="4">
        <v>5</v>
      </c>
      <c r="AE677" s="4">
        <v>5</v>
      </c>
      <c r="AF677" s="4">
        <v>3</v>
      </c>
      <c r="AG677" s="4">
        <v>3</v>
      </c>
      <c r="AH677" s="4">
        <v>0</v>
      </c>
      <c r="AI677" s="4">
        <v>0</v>
      </c>
      <c r="AJ677" s="4">
        <v>3</v>
      </c>
      <c r="AK677" s="4">
        <v>3</v>
      </c>
      <c r="AL677" s="4">
        <v>1</v>
      </c>
      <c r="AM677" s="4">
        <v>1</v>
      </c>
      <c r="AN677" s="4">
        <v>0</v>
      </c>
      <c r="AO677" s="4">
        <v>0</v>
      </c>
      <c r="AP677" s="3" t="s">
        <v>58</v>
      </c>
      <c r="AQ677" s="3" t="s">
        <v>132</v>
      </c>
      <c r="AR677" s="6" t="str">
        <f>HYPERLINK("http://catalog.hathitrust.org/Record/006019426","HathiTrust Record")</f>
        <v>HathiTrust Record</v>
      </c>
      <c r="AS677" s="6" t="str">
        <f>HYPERLINK("https://creighton-primo.hosted.exlibrisgroup.com/primo-explore/search?tab=default_tab&amp;search_scope=EVERYTHING&amp;vid=01CRU&amp;lang=en_US&amp;offset=0&amp;query=any,contains,991003808639702656","Catalog Record")</f>
        <v>Catalog Record</v>
      </c>
      <c r="AT677" s="6" t="str">
        <f>HYPERLINK("http://www.worldcat.org/oclc/1532028","WorldCat Record")</f>
        <v>WorldCat Record</v>
      </c>
      <c r="AU677" s="3" t="s">
        <v>8652</v>
      </c>
      <c r="AV677" s="3" t="s">
        <v>8653</v>
      </c>
      <c r="AW677" s="3" t="s">
        <v>8654</v>
      </c>
      <c r="AX677" s="3" t="s">
        <v>8654</v>
      </c>
      <c r="AY677" s="3" t="s">
        <v>8655</v>
      </c>
      <c r="AZ677" s="3" t="s">
        <v>75</v>
      </c>
      <c r="BB677" s="3" t="s">
        <v>8656</v>
      </c>
      <c r="BC677" s="3" t="s">
        <v>8657</v>
      </c>
      <c r="BD677" s="3" t="s">
        <v>8658</v>
      </c>
    </row>
    <row r="678" spans="1:56" ht="39" customHeight="1" x14ac:dyDescent="0.25">
      <c r="A678" s="7" t="s">
        <v>58</v>
      </c>
      <c r="B678" s="2" t="s">
        <v>8659</v>
      </c>
      <c r="C678" s="2" t="s">
        <v>8660</v>
      </c>
      <c r="D678" s="2" t="s">
        <v>8661</v>
      </c>
      <c r="F678" s="3" t="s">
        <v>58</v>
      </c>
      <c r="G678" s="3" t="s">
        <v>59</v>
      </c>
      <c r="H678" s="3" t="s">
        <v>58</v>
      </c>
      <c r="I678" s="3" t="s">
        <v>58</v>
      </c>
      <c r="J678" s="3" t="s">
        <v>60</v>
      </c>
      <c r="K678" s="2" t="s">
        <v>8662</v>
      </c>
      <c r="L678" s="2" t="s">
        <v>8663</v>
      </c>
      <c r="M678" s="3" t="s">
        <v>655</v>
      </c>
      <c r="O678" s="3" t="s">
        <v>65</v>
      </c>
      <c r="P678" s="3" t="s">
        <v>186</v>
      </c>
      <c r="R678" s="3" t="s">
        <v>68</v>
      </c>
      <c r="S678" s="4">
        <v>9</v>
      </c>
      <c r="T678" s="4">
        <v>9</v>
      </c>
      <c r="U678" s="5" t="s">
        <v>4853</v>
      </c>
      <c r="V678" s="5" t="s">
        <v>4853</v>
      </c>
      <c r="W678" s="5" t="s">
        <v>8638</v>
      </c>
      <c r="X678" s="5" t="s">
        <v>8638</v>
      </c>
      <c r="Y678" s="4">
        <v>1972</v>
      </c>
      <c r="Z678" s="4">
        <v>1844</v>
      </c>
      <c r="AA678" s="4">
        <v>1895</v>
      </c>
      <c r="AB678" s="4">
        <v>18</v>
      </c>
      <c r="AC678" s="4">
        <v>18</v>
      </c>
      <c r="AD678" s="4">
        <v>61</v>
      </c>
      <c r="AE678" s="4">
        <v>61</v>
      </c>
      <c r="AF678" s="4">
        <v>25</v>
      </c>
      <c r="AG678" s="4">
        <v>25</v>
      </c>
      <c r="AH678" s="4">
        <v>11</v>
      </c>
      <c r="AI678" s="4">
        <v>11</v>
      </c>
      <c r="AJ678" s="4">
        <v>26</v>
      </c>
      <c r="AK678" s="4">
        <v>26</v>
      </c>
      <c r="AL678" s="4">
        <v>11</v>
      </c>
      <c r="AM678" s="4">
        <v>11</v>
      </c>
      <c r="AN678" s="4">
        <v>2</v>
      </c>
      <c r="AO678" s="4">
        <v>2</v>
      </c>
      <c r="AP678" s="3" t="s">
        <v>58</v>
      </c>
      <c r="AQ678" s="3" t="s">
        <v>132</v>
      </c>
      <c r="AR678" s="6" t="str">
        <f>HYPERLINK("http://catalog.hathitrust.org/Record/000012314","HathiTrust Record")</f>
        <v>HathiTrust Record</v>
      </c>
      <c r="AS678" s="6" t="str">
        <f>HYPERLINK("https://creighton-primo.hosted.exlibrisgroup.com/primo-explore/search?tab=default_tab&amp;search_scope=EVERYTHING&amp;vid=01CRU&amp;lang=en_US&amp;offset=0&amp;query=any,contains,991003290999702656","Catalog Record")</f>
        <v>Catalog Record</v>
      </c>
      <c r="AT678" s="6" t="str">
        <f>HYPERLINK("http://www.worldcat.org/oclc/813140","WorldCat Record")</f>
        <v>WorldCat Record</v>
      </c>
      <c r="AU678" s="3" t="s">
        <v>8664</v>
      </c>
      <c r="AV678" s="3" t="s">
        <v>8665</v>
      </c>
      <c r="AW678" s="3" t="s">
        <v>8666</v>
      </c>
      <c r="AX678" s="3" t="s">
        <v>8666</v>
      </c>
      <c r="AY678" s="3" t="s">
        <v>8667</v>
      </c>
      <c r="AZ678" s="3" t="s">
        <v>75</v>
      </c>
      <c r="BB678" s="3" t="s">
        <v>8668</v>
      </c>
      <c r="BC678" s="3" t="s">
        <v>8669</v>
      </c>
      <c r="BD678" s="3" t="s">
        <v>8670</v>
      </c>
    </row>
    <row r="679" spans="1:56" ht="39" customHeight="1" x14ac:dyDescent="0.25">
      <c r="A679" s="7" t="s">
        <v>58</v>
      </c>
      <c r="B679" s="2" t="s">
        <v>8671</v>
      </c>
      <c r="C679" s="2" t="s">
        <v>8672</v>
      </c>
      <c r="D679" s="2" t="s">
        <v>8673</v>
      </c>
      <c r="F679" s="3" t="s">
        <v>58</v>
      </c>
      <c r="G679" s="3" t="s">
        <v>59</v>
      </c>
      <c r="H679" s="3" t="s">
        <v>58</v>
      </c>
      <c r="I679" s="3" t="s">
        <v>58</v>
      </c>
      <c r="J679" s="3" t="s">
        <v>60</v>
      </c>
      <c r="K679" s="2" t="s">
        <v>8674</v>
      </c>
      <c r="L679" s="2" t="s">
        <v>8675</v>
      </c>
      <c r="M679" s="3" t="s">
        <v>831</v>
      </c>
      <c r="O679" s="3" t="s">
        <v>65</v>
      </c>
      <c r="P679" s="3" t="s">
        <v>954</v>
      </c>
      <c r="Q679" s="2" t="s">
        <v>8676</v>
      </c>
      <c r="R679" s="3" t="s">
        <v>68</v>
      </c>
      <c r="S679" s="4">
        <v>7</v>
      </c>
      <c r="T679" s="4">
        <v>7</v>
      </c>
      <c r="U679" s="5" t="s">
        <v>8677</v>
      </c>
      <c r="V679" s="5" t="s">
        <v>8677</v>
      </c>
      <c r="W679" s="5" t="s">
        <v>8638</v>
      </c>
      <c r="X679" s="5" t="s">
        <v>8638</v>
      </c>
      <c r="Y679" s="4">
        <v>493</v>
      </c>
      <c r="Z679" s="4">
        <v>413</v>
      </c>
      <c r="AA679" s="4">
        <v>554</v>
      </c>
      <c r="AB679" s="4">
        <v>2</v>
      </c>
      <c r="AC679" s="4">
        <v>3</v>
      </c>
      <c r="AD679" s="4">
        <v>27</v>
      </c>
      <c r="AE679" s="4">
        <v>32</v>
      </c>
      <c r="AF679" s="4">
        <v>10</v>
      </c>
      <c r="AG679" s="4">
        <v>11</v>
      </c>
      <c r="AH679" s="4">
        <v>5</v>
      </c>
      <c r="AI679" s="4">
        <v>7</v>
      </c>
      <c r="AJ679" s="4">
        <v>17</v>
      </c>
      <c r="AK679" s="4">
        <v>19</v>
      </c>
      <c r="AL679" s="4">
        <v>1</v>
      </c>
      <c r="AM679" s="4">
        <v>2</v>
      </c>
      <c r="AN679" s="4">
        <v>0</v>
      </c>
      <c r="AO679" s="4">
        <v>0</v>
      </c>
      <c r="AP679" s="3" t="s">
        <v>58</v>
      </c>
      <c r="AQ679" s="3" t="s">
        <v>132</v>
      </c>
      <c r="AR679" s="6" t="str">
        <f>HYPERLINK("http://catalog.hathitrust.org/Record/001414859","HathiTrust Record")</f>
        <v>HathiTrust Record</v>
      </c>
      <c r="AS679" s="6" t="str">
        <f>HYPERLINK("https://creighton-primo.hosted.exlibrisgroup.com/primo-explore/search?tab=default_tab&amp;search_scope=EVERYTHING&amp;vid=01CRU&amp;lang=en_US&amp;offset=0&amp;query=any,contains,991003340119702656","Catalog Record")</f>
        <v>Catalog Record</v>
      </c>
      <c r="AT679" s="6" t="str">
        <f>HYPERLINK("http://www.worldcat.org/oclc/870789","WorldCat Record")</f>
        <v>WorldCat Record</v>
      </c>
      <c r="AU679" s="3" t="s">
        <v>8678</v>
      </c>
      <c r="AV679" s="3" t="s">
        <v>8679</v>
      </c>
      <c r="AW679" s="3" t="s">
        <v>8680</v>
      </c>
      <c r="AX679" s="3" t="s">
        <v>8680</v>
      </c>
      <c r="AY679" s="3" t="s">
        <v>8681</v>
      </c>
      <c r="AZ679" s="3" t="s">
        <v>75</v>
      </c>
      <c r="BC679" s="3" t="s">
        <v>8682</v>
      </c>
      <c r="BD679" s="3" t="s">
        <v>8683</v>
      </c>
    </row>
    <row r="680" spans="1:56" ht="39" customHeight="1" x14ac:dyDescent="0.25">
      <c r="A680" s="7" t="s">
        <v>58</v>
      </c>
      <c r="B680" s="2" t="s">
        <v>8684</v>
      </c>
      <c r="C680" s="2" t="s">
        <v>8685</v>
      </c>
      <c r="D680" s="2" t="s">
        <v>8686</v>
      </c>
      <c r="F680" s="3" t="s">
        <v>58</v>
      </c>
      <c r="G680" s="3" t="s">
        <v>59</v>
      </c>
      <c r="H680" s="3" t="s">
        <v>58</v>
      </c>
      <c r="I680" s="3" t="s">
        <v>58</v>
      </c>
      <c r="J680" s="3" t="s">
        <v>60</v>
      </c>
      <c r="K680" s="2" t="s">
        <v>8687</v>
      </c>
      <c r="L680" s="2" t="s">
        <v>8688</v>
      </c>
      <c r="M680" s="3" t="s">
        <v>1371</v>
      </c>
      <c r="O680" s="3" t="s">
        <v>65</v>
      </c>
      <c r="P680" s="3" t="s">
        <v>186</v>
      </c>
      <c r="R680" s="3" t="s">
        <v>68</v>
      </c>
      <c r="S680" s="4">
        <v>8</v>
      </c>
      <c r="T680" s="4">
        <v>8</v>
      </c>
      <c r="U680" s="5" t="s">
        <v>8689</v>
      </c>
      <c r="V680" s="5" t="s">
        <v>8689</v>
      </c>
      <c r="W680" s="5" t="s">
        <v>8690</v>
      </c>
      <c r="X680" s="5" t="s">
        <v>8690</v>
      </c>
      <c r="Y680" s="4">
        <v>639</v>
      </c>
      <c r="Z680" s="4">
        <v>611</v>
      </c>
      <c r="AA680" s="4">
        <v>891</v>
      </c>
      <c r="AB680" s="4">
        <v>6</v>
      </c>
      <c r="AC680" s="4">
        <v>8</v>
      </c>
      <c r="AD680" s="4">
        <v>23</v>
      </c>
      <c r="AE680" s="4">
        <v>37</v>
      </c>
      <c r="AF680" s="4">
        <v>6</v>
      </c>
      <c r="AG680" s="4">
        <v>14</v>
      </c>
      <c r="AH680" s="4">
        <v>6</v>
      </c>
      <c r="AI680" s="4">
        <v>7</v>
      </c>
      <c r="AJ680" s="4">
        <v>12</v>
      </c>
      <c r="AK680" s="4">
        <v>19</v>
      </c>
      <c r="AL680" s="4">
        <v>5</v>
      </c>
      <c r="AM680" s="4">
        <v>6</v>
      </c>
      <c r="AN680" s="4">
        <v>0</v>
      </c>
      <c r="AO680" s="4">
        <v>0</v>
      </c>
      <c r="AP680" s="3" t="s">
        <v>58</v>
      </c>
      <c r="AQ680" s="3" t="s">
        <v>132</v>
      </c>
      <c r="AR680" s="6" t="str">
        <f>HYPERLINK("http://catalog.hathitrust.org/Record/001414863","HathiTrust Record")</f>
        <v>HathiTrust Record</v>
      </c>
      <c r="AS680" s="6" t="str">
        <f>HYPERLINK("https://creighton-primo.hosted.exlibrisgroup.com/primo-explore/search?tab=default_tab&amp;search_scope=EVERYTHING&amp;vid=01CRU&amp;lang=en_US&amp;offset=0&amp;query=any,contains,991001005049702656","Catalog Record")</f>
        <v>Catalog Record</v>
      </c>
      <c r="AT680" s="6" t="str">
        <f>HYPERLINK("http://www.worldcat.org/oclc/172451","WorldCat Record")</f>
        <v>WorldCat Record</v>
      </c>
      <c r="AU680" s="3" t="s">
        <v>8691</v>
      </c>
      <c r="AV680" s="3" t="s">
        <v>8692</v>
      </c>
      <c r="AW680" s="3" t="s">
        <v>8693</v>
      </c>
      <c r="AX680" s="3" t="s">
        <v>8693</v>
      </c>
      <c r="AY680" s="3" t="s">
        <v>8694</v>
      </c>
      <c r="AZ680" s="3" t="s">
        <v>75</v>
      </c>
      <c r="BB680" s="3" t="s">
        <v>8695</v>
      </c>
      <c r="BC680" s="3" t="s">
        <v>8696</v>
      </c>
      <c r="BD680" s="3" t="s">
        <v>8697</v>
      </c>
    </row>
    <row r="681" spans="1:56" ht="39" customHeight="1" x14ac:dyDescent="0.25">
      <c r="A681" s="7" t="s">
        <v>58</v>
      </c>
      <c r="B681" s="2" t="s">
        <v>8698</v>
      </c>
      <c r="C681" s="2" t="s">
        <v>8699</v>
      </c>
      <c r="D681" s="2" t="s">
        <v>8700</v>
      </c>
      <c r="F681" s="3" t="s">
        <v>58</v>
      </c>
      <c r="G681" s="3" t="s">
        <v>59</v>
      </c>
      <c r="H681" s="3" t="s">
        <v>58</v>
      </c>
      <c r="I681" s="3" t="s">
        <v>58</v>
      </c>
      <c r="J681" s="3" t="s">
        <v>60</v>
      </c>
      <c r="K681" s="2" t="s">
        <v>8701</v>
      </c>
      <c r="L681" s="2" t="s">
        <v>8702</v>
      </c>
      <c r="M681" s="3" t="s">
        <v>8703</v>
      </c>
      <c r="O681" s="3" t="s">
        <v>65</v>
      </c>
      <c r="P681" s="3" t="s">
        <v>954</v>
      </c>
      <c r="Q681" s="2" t="s">
        <v>8704</v>
      </c>
      <c r="R681" s="3" t="s">
        <v>68</v>
      </c>
      <c r="S681" s="4">
        <v>2</v>
      </c>
      <c r="T681" s="4">
        <v>2</v>
      </c>
      <c r="U681" s="5" t="s">
        <v>8705</v>
      </c>
      <c r="V681" s="5" t="s">
        <v>8705</v>
      </c>
      <c r="W681" s="5" t="s">
        <v>8638</v>
      </c>
      <c r="X681" s="5" t="s">
        <v>8638</v>
      </c>
      <c r="Y681" s="4">
        <v>51</v>
      </c>
      <c r="Z681" s="4">
        <v>47</v>
      </c>
      <c r="AA681" s="4">
        <v>56</v>
      </c>
      <c r="AB681" s="4">
        <v>2</v>
      </c>
      <c r="AC681" s="4">
        <v>2</v>
      </c>
      <c r="AD681" s="4">
        <v>12</v>
      </c>
      <c r="AE681" s="4">
        <v>14</v>
      </c>
      <c r="AF681" s="4">
        <v>1</v>
      </c>
      <c r="AG681" s="4">
        <v>2</v>
      </c>
      <c r="AH681" s="4">
        <v>5</v>
      </c>
      <c r="AI681" s="4">
        <v>5</v>
      </c>
      <c r="AJ681" s="4">
        <v>9</v>
      </c>
      <c r="AK681" s="4">
        <v>11</v>
      </c>
      <c r="AL681" s="4">
        <v>0</v>
      </c>
      <c r="AM681" s="4">
        <v>0</v>
      </c>
      <c r="AN681" s="4">
        <v>0</v>
      </c>
      <c r="AO681" s="4">
        <v>0</v>
      </c>
      <c r="AP681" s="3" t="s">
        <v>58</v>
      </c>
      <c r="AQ681" s="3" t="s">
        <v>58</v>
      </c>
      <c r="AS681" s="6" t="str">
        <f>HYPERLINK("https://creighton-primo.hosted.exlibrisgroup.com/primo-explore/search?tab=default_tab&amp;search_scope=EVERYTHING&amp;vid=01CRU&amp;lang=en_US&amp;offset=0&amp;query=any,contains,991003383369702656","Catalog Record")</f>
        <v>Catalog Record</v>
      </c>
      <c r="AT681" s="6" t="str">
        <f>HYPERLINK("http://www.worldcat.org/oclc/920686","WorldCat Record")</f>
        <v>WorldCat Record</v>
      </c>
      <c r="AU681" s="3" t="s">
        <v>8706</v>
      </c>
      <c r="AV681" s="3" t="s">
        <v>8707</v>
      </c>
      <c r="AW681" s="3" t="s">
        <v>8708</v>
      </c>
      <c r="AX681" s="3" t="s">
        <v>8708</v>
      </c>
      <c r="AY681" s="3" t="s">
        <v>8709</v>
      </c>
      <c r="AZ681" s="3" t="s">
        <v>75</v>
      </c>
      <c r="BC681" s="3" t="s">
        <v>8710</v>
      </c>
      <c r="BD681" s="3" t="s">
        <v>8711</v>
      </c>
    </row>
    <row r="682" spans="1:56" ht="39" customHeight="1" x14ac:dyDescent="0.25">
      <c r="A682" s="7" t="s">
        <v>58</v>
      </c>
      <c r="B682" s="2" t="s">
        <v>8712</v>
      </c>
      <c r="C682" s="2" t="s">
        <v>8713</v>
      </c>
      <c r="D682" s="2" t="s">
        <v>8714</v>
      </c>
      <c r="F682" s="3" t="s">
        <v>58</v>
      </c>
      <c r="G682" s="3" t="s">
        <v>59</v>
      </c>
      <c r="H682" s="3" t="s">
        <v>58</v>
      </c>
      <c r="I682" s="3" t="s">
        <v>58</v>
      </c>
      <c r="J682" s="3" t="s">
        <v>60</v>
      </c>
      <c r="M682" s="3" t="s">
        <v>544</v>
      </c>
      <c r="O682" s="3" t="s">
        <v>65</v>
      </c>
      <c r="P682" s="3" t="s">
        <v>113</v>
      </c>
      <c r="R682" s="3" t="s">
        <v>68</v>
      </c>
      <c r="S682" s="4">
        <v>7</v>
      </c>
      <c r="T682" s="4">
        <v>7</v>
      </c>
      <c r="U682" s="5" t="s">
        <v>8715</v>
      </c>
      <c r="V682" s="5" t="s">
        <v>8715</v>
      </c>
      <c r="W682" s="5" t="s">
        <v>8716</v>
      </c>
      <c r="X682" s="5" t="s">
        <v>8716</v>
      </c>
      <c r="Y682" s="4">
        <v>43</v>
      </c>
      <c r="Z682" s="4">
        <v>35</v>
      </c>
      <c r="AA682" s="4">
        <v>38</v>
      </c>
      <c r="AB682" s="4">
        <v>1</v>
      </c>
      <c r="AC682" s="4">
        <v>1</v>
      </c>
      <c r="AD682" s="4">
        <v>9</v>
      </c>
      <c r="AE682" s="4">
        <v>9</v>
      </c>
      <c r="AF682" s="4">
        <v>4</v>
      </c>
      <c r="AG682" s="4">
        <v>4</v>
      </c>
      <c r="AH682" s="4">
        <v>2</v>
      </c>
      <c r="AI682" s="4">
        <v>2</v>
      </c>
      <c r="AJ682" s="4">
        <v>6</v>
      </c>
      <c r="AK682" s="4">
        <v>6</v>
      </c>
      <c r="AL682" s="4">
        <v>0</v>
      </c>
      <c r="AM682" s="4">
        <v>0</v>
      </c>
      <c r="AN682" s="4">
        <v>0</v>
      </c>
      <c r="AO682" s="4">
        <v>0</v>
      </c>
      <c r="AP682" s="3" t="s">
        <v>58</v>
      </c>
      <c r="AQ682" s="3" t="s">
        <v>58</v>
      </c>
      <c r="AS682" s="6" t="str">
        <f>HYPERLINK("https://creighton-primo.hosted.exlibrisgroup.com/primo-explore/search?tab=default_tab&amp;search_scope=EVERYTHING&amp;vid=01CRU&amp;lang=en_US&amp;offset=0&amp;query=any,contains,991003037529702656","Catalog Record")</f>
        <v>Catalog Record</v>
      </c>
      <c r="AT682" s="6" t="str">
        <f>HYPERLINK("http://www.worldcat.org/oclc/43798774","WorldCat Record")</f>
        <v>WorldCat Record</v>
      </c>
      <c r="AU682" s="3" t="s">
        <v>8717</v>
      </c>
      <c r="AV682" s="3" t="s">
        <v>8718</v>
      </c>
      <c r="AW682" s="3" t="s">
        <v>8719</v>
      </c>
      <c r="AX682" s="3" t="s">
        <v>8719</v>
      </c>
      <c r="AY682" s="3" t="s">
        <v>8720</v>
      </c>
      <c r="AZ682" s="3" t="s">
        <v>75</v>
      </c>
      <c r="BB682" s="3" t="s">
        <v>8721</v>
      </c>
      <c r="BC682" s="3" t="s">
        <v>8722</v>
      </c>
      <c r="BD682" s="3" t="s">
        <v>8723</v>
      </c>
    </row>
    <row r="683" spans="1:56" ht="39" customHeight="1" x14ac:dyDescent="0.25">
      <c r="A683" s="7" t="s">
        <v>58</v>
      </c>
      <c r="B683" s="2" t="s">
        <v>8724</v>
      </c>
      <c r="C683" s="2" t="s">
        <v>8725</v>
      </c>
      <c r="D683" s="2" t="s">
        <v>8726</v>
      </c>
      <c r="F683" s="3" t="s">
        <v>58</v>
      </c>
      <c r="G683" s="3" t="s">
        <v>59</v>
      </c>
      <c r="H683" s="3" t="s">
        <v>58</v>
      </c>
      <c r="I683" s="3" t="s">
        <v>58</v>
      </c>
      <c r="J683" s="3" t="s">
        <v>60</v>
      </c>
      <c r="K683" s="2" t="s">
        <v>2177</v>
      </c>
      <c r="L683" s="2" t="s">
        <v>8727</v>
      </c>
      <c r="M683" s="3" t="s">
        <v>83</v>
      </c>
      <c r="O683" s="3" t="s">
        <v>65</v>
      </c>
      <c r="P683" s="3" t="s">
        <v>967</v>
      </c>
      <c r="R683" s="3" t="s">
        <v>68</v>
      </c>
      <c r="S683" s="4">
        <v>6</v>
      </c>
      <c r="T683" s="4">
        <v>6</v>
      </c>
      <c r="U683" s="5" t="s">
        <v>8728</v>
      </c>
      <c r="V683" s="5" t="s">
        <v>8728</v>
      </c>
      <c r="W683" s="5" t="s">
        <v>8729</v>
      </c>
      <c r="X683" s="5" t="s">
        <v>8729</v>
      </c>
      <c r="Y683" s="4">
        <v>308</v>
      </c>
      <c r="Z683" s="4">
        <v>285</v>
      </c>
      <c r="AA683" s="4">
        <v>291</v>
      </c>
      <c r="AB683" s="4">
        <v>4</v>
      </c>
      <c r="AC683" s="4">
        <v>4</v>
      </c>
      <c r="AD683" s="4">
        <v>25</v>
      </c>
      <c r="AE683" s="4">
        <v>25</v>
      </c>
      <c r="AF683" s="4">
        <v>7</v>
      </c>
      <c r="AG683" s="4">
        <v>7</v>
      </c>
      <c r="AH683" s="4">
        <v>7</v>
      </c>
      <c r="AI683" s="4">
        <v>7</v>
      </c>
      <c r="AJ683" s="4">
        <v>18</v>
      </c>
      <c r="AK683" s="4">
        <v>18</v>
      </c>
      <c r="AL683" s="4">
        <v>2</v>
      </c>
      <c r="AM683" s="4">
        <v>2</v>
      </c>
      <c r="AN683" s="4">
        <v>0</v>
      </c>
      <c r="AO683" s="4">
        <v>0</v>
      </c>
      <c r="AP683" s="3" t="s">
        <v>58</v>
      </c>
      <c r="AQ683" s="3" t="s">
        <v>132</v>
      </c>
      <c r="AR683" s="6" t="str">
        <f>HYPERLINK("http://catalog.hathitrust.org/Record/001414872","HathiTrust Record")</f>
        <v>HathiTrust Record</v>
      </c>
      <c r="AS683" s="6" t="str">
        <f>HYPERLINK("https://creighton-primo.hosted.exlibrisgroup.com/primo-explore/search?tab=default_tab&amp;search_scope=EVERYTHING&amp;vid=01CRU&amp;lang=en_US&amp;offset=0&amp;query=any,contains,991003352079702656","Catalog Record")</f>
        <v>Catalog Record</v>
      </c>
      <c r="AT683" s="6" t="str">
        <f>HYPERLINK("http://www.worldcat.org/oclc/885672","WorldCat Record")</f>
        <v>WorldCat Record</v>
      </c>
      <c r="AU683" s="3" t="s">
        <v>8730</v>
      </c>
      <c r="AV683" s="3" t="s">
        <v>8731</v>
      </c>
      <c r="AW683" s="3" t="s">
        <v>8732</v>
      </c>
      <c r="AX683" s="3" t="s">
        <v>8732</v>
      </c>
      <c r="AY683" s="3" t="s">
        <v>8733</v>
      </c>
      <c r="AZ683" s="3" t="s">
        <v>75</v>
      </c>
      <c r="BC683" s="3" t="s">
        <v>8734</v>
      </c>
      <c r="BD683" s="3" t="s">
        <v>8735</v>
      </c>
    </row>
    <row r="684" spans="1:56" ht="39" customHeight="1" x14ac:dyDescent="0.25">
      <c r="A684" s="7" t="s">
        <v>58</v>
      </c>
      <c r="B684" s="2" t="s">
        <v>8736</v>
      </c>
      <c r="C684" s="2" t="s">
        <v>8737</v>
      </c>
      <c r="D684" s="2" t="s">
        <v>8738</v>
      </c>
      <c r="F684" s="3" t="s">
        <v>58</v>
      </c>
      <c r="G684" s="3" t="s">
        <v>59</v>
      </c>
      <c r="H684" s="3" t="s">
        <v>58</v>
      </c>
      <c r="I684" s="3" t="s">
        <v>58</v>
      </c>
      <c r="J684" s="3" t="s">
        <v>60</v>
      </c>
      <c r="K684" s="2" t="s">
        <v>3008</v>
      </c>
      <c r="L684" s="2" t="s">
        <v>8739</v>
      </c>
      <c r="M684" s="3" t="s">
        <v>8740</v>
      </c>
      <c r="O684" s="3" t="s">
        <v>65</v>
      </c>
      <c r="P684" s="3" t="s">
        <v>186</v>
      </c>
      <c r="R684" s="3" t="s">
        <v>68</v>
      </c>
      <c r="S684" s="4">
        <v>2</v>
      </c>
      <c r="T684" s="4">
        <v>2</v>
      </c>
      <c r="U684" s="5" t="s">
        <v>8741</v>
      </c>
      <c r="V684" s="5" t="s">
        <v>8741</v>
      </c>
      <c r="W684" s="5" t="s">
        <v>8638</v>
      </c>
      <c r="X684" s="5" t="s">
        <v>8638</v>
      </c>
      <c r="Y684" s="4">
        <v>9</v>
      </c>
      <c r="Z684" s="4">
        <v>9</v>
      </c>
      <c r="AA684" s="4">
        <v>21</v>
      </c>
      <c r="AB684" s="4">
        <v>1</v>
      </c>
      <c r="AC684" s="4">
        <v>1</v>
      </c>
      <c r="AD684" s="4">
        <v>3</v>
      </c>
      <c r="AE684" s="4">
        <v>3</v>
      </c>
      <c r="AF684" s="4">
        <v>1</v>
      </c>
      <c r="AG684" s="4">
        <v>1</v>
      </c>
      <c r="AH684" s="4">
        <v>1</v>
      </c>
      <c r="AI684" s="4">
        <v>1</v>
      </c>
      <c r="AJ684" s="4">
        <v>2</v>
      </c>
      <c r="AK684" s="4">
        <v>2</v>
      </c>
      <c r="AL684" s="4">
        <v>0</v>
      </c>
      <c r="AM684" s="4">
        <v>0</v>
      </c>
      <c r="AN684" s="4">
        <v>0</v>
      </c>
      <c r="AO684" s="4">
        <v>0</v>
      </c>
      <c r="AP684" s="3" t="s">
        <v>58</v>
      </c>
      <c r="AQ684" s="3" t="s">
        <v>58</v>
      </c>
      <c r="AS684" s="6" t="str">
        <f>HYPERLINK("https://creighton-primo.hosted.exlibrisgroup.com/primo-explore/search?tab=default_tab&amp;search_scope=EVERYTHING&amp;vid=01CRU&amp;lang=en_US&amp;offset=0&amp;query=any,contains,991000715489702656","Catalog Record")</f>
        <v>Catalog Record</v>
      </c>
      <c r="AT684" s="6" t="str">
        <f>HYPERLINK("http://www.worldcat.org/oclc/12619715","WorldCat Record")</f>
        <v>WorldCat Record</v>
      </c>
      <c r="AU684" s="3" t="s">
        <v>8742</v>
      </c>
      <c r="AV684" s="3" t="s">
        <v>8743</v>
      </c>
      <c r="AW684" s="3" t="s">
        <v>8744</v>
      </c>
      <c r="AX684" s="3" t="s">
        <v>8744</v>
      </c>
      <c r="AY684" s="3" t="s">
        <v>8745</v>
      </c>
      <c r="AZ684" s="3" t="s">
        <v>75</v>
      </c>
      <c r="BC684" s="3" t="s">
        <v>8746</v>
      </c>
      <c r="BD684" s="3" t="s">
        <v>8747</v>
      </c>
    </row>
    <row r="685" spans="1:56" ht="39" customHeight="1" x14ac:dyDescent="0.25">
      <c r="A685" s="7" t="s">
        <v>58</v>
      </c>
      <c r="B685" s="2" t="s">
        <v>8748</v>
      </c>
      <c r="C685" s="2" t="s">
        <v>8749</v>
      </c>
      <c r="D685" s="2" t="s">
        <v>8750</v>
      </c>
      <c r="F685" s="3" t="s">
        <v>58</v>
      </c>
      <c r="G685" s="3" t="s">
        <v>59</v>
      </c>
      <c r="H685" s="3" t="s">
        <v>58</v>
      </c>
      <c r="I685" s="3" t="s">
        <v>58</v>
      </c>
      <c r="J685" s="3" t="s">
        <v>60</v>
      </c>
      <c r="K685" s="2" t="s">
        <v>8751</v>
      </c>
      <c r="L685" s="2" t="s">
        <v>8752</v>
      </c>
      <c r="M685" s="3" t="s">
        <v>831</v>
      </c>
      <c r="O685" s="3" t="s">
        <v>65</v>
      </c>
      <c r="P685" s="3" t="s">
        <v>3202</v>
      </c>
      <c r="R685" s="3" t="s">
        <v>68</v>
      </c>
      <c r="S685" s="4">
        <v>2</v>
      </c>
      <c r="T685" s="4">
        <v>2</v>
      </c>
      <c r="U685" s="5" t="s">
        <v>8753</v>
      </c>
      <c r="V685" s="5" t="s">
        <v>8753</v>
      </c>
      <c r="W685" s="5" t="s">
        <v>8638</v>
      </c>
      <c r="X685" s="5" t="s">
        <v>8638</v>
      </c>
      <c r="Y685" s="4">
        <v>106</v>
      </c>
      <c r="Z685" s="4">
        <v>96</v>
      </c>
      <c r="AA685" s="4">
        <v>103</v>
      </c>
      <c r="AB685" s="4">
        <v>3</v>
      </c>
      <c r="AC685" s="4">
        <v>3</v>
      </c>
      <c r="AD685" s="4">
        <v>17</v>
      </c>
      <c r="AE685" s="4">
        <v>17</v>
      </c>
      <c r="AF685" s="4">
        <v>6</v>
      </c>
      <c r="AG685" s="4">
        <v>6</v>
      </c>
      <c r="AH685" s="4">
        <v>4</v>
      </c>
      <c r="AI685" s="4">
        <v>4</v>
      </c>
      <c r="AJ685" s="4">
        <v>13</v>
      </c>
      <c r="AK685" s="4">
        <v>13</v>
      </c>
      <c r="AL685" s="4">
        <v>0</v>
      </c>
      <c r="AM685" s="4">
        <v>0</v>
      </c>
      <c r="AN685" s="4">
        <v>0</v>
      </c>
      <c r="AO685" s="4">
        <v>0</v>
      </c>
      <c r="AP685" s="3" t="s">
        <v>132</v>
      </c>
      <c r="AQ685" s="3" t="s">
        <v>58</v>
      </c>
      <c r="AR685" s="6" t="str">
        <f>HYPERLINK("http://catalog.hathitrust.org/Record/001414873","HathiTrust Record")</f>
        <v>HathiTrust Record</v>
      </c>
      <c r="AS685" s="6" t="str">
        <f>HYPERLINK("https://creighton-primo.hosted.exlibrisgroup.com/primo-explore/search?tab=default_tab&amp;search_scope=EVERYTHING&amp;vid=01CRU&amp;lang=en_US&amp;offset=0&amp;query=any,contains,991004081539702656","Catalog Record")</f>
        <v>Catalog Record</v>
      </c>
      <c r="AT685" s="6" t="str">
        <f>HYPERLINK("http://www.worldcat.org/oclc/2330124","WorldCat Record")</f>
        <v>WorldCat Record</v>
      </c>
      <c r="AU685" s="3" t="s">
        <v>8754</v>
      </c>
      <c r="AV685" s="3" t="s">
        <v>8755</v>
      </c>
      <c r="AW685" s="3" t="s">
        <v>8756</v>
      </c>
      <c r="AX685" s="3" t="s">
        <v>8756</v>
      </c>
      <c r="AY685" s="3" t="s">
        <v>8757</v>
      </c>
      <c r="AZ685" s="3" t="s">
        <v>75</v>
      </c>
      <c r="BC685" s="3" t="s">
        <v>8758</v>
      </c>
      <c r="BD685" s="3" t="s">
        <v>8759</v>
      </c>
    </row>
    <row r="686" spans="1:56" ht="39" customHeight="1" x14ac:dyDescent="0.25">
      <c r="A686" s="7" t="s">
        <v>58</v>
      </c>
      <c r="B686" s="2" t="s">
        <v>8760</v>
      </c>
      <c r="C686" s="2" t="s">
        <v>8761</v>
      </c>
      <c r="D686" s="2" t="s">
        <v>8762</v>
      </c>
      <c r="F686" s="3" t="s">
        <v>58</v>
      </c>
      <c r="G686" s="3" t="s">
        <v>59</v>
      </c>
      <c r="H686" s="3" t="s">
        <v>58</v>
      </c>
      <c r="I686" s="3" t="s">
        <v>58</v>
      </c>
      <c r="J686" s="3" t="s">
        <v>60</v>
      </c>
      <c r="K686" s="2" t="s">
        <v>8763</v>
      </c>
      <c r="L686" s="2" t="s">
        <v>8764</v>
      </c>
      <c r="M686" s="3" t="s">
        <v>8765</v>
      </c>
      <c r="O686" s="3" t="s">
        <v>65</v>
      </c>
      <c r="P686" s="3" t="s">
        <v>66</v>
      </c>
      <c r="R686" s="3" t="s">
        <v>68</v>
      </c>
      <c r="S686" s="4">
        <v>1</v>
      </c>
      <c r="T686" s="4">
        <v>1</v>
      </c>
      <c r="U686" s="5" t="s">
        <v>8766</v>
      </c>
      <c r="V686" s="5" t="s">
        <v>8766</v>
      </c>
      <c r="W686" s="5" t="s">
        <v>8638</v>
      </c>
      <c r="X686" s="5" t="s">
        <v>8638</v>
      </c>
      <c r="Y686" s="4">
        <v>26</v>
      </c>
      <c r="Z686" s="4">
        <v>17</v>
      </c>
      <c r="AA686" s="4">
        <v>89</v>
      </c>
      <c r="AB686" s="4">
        <v>1</v>
      </c>
      <c r="AC686" s="4">
        <v>1</v>
      </c>
      <c r="AD686" s="4">
        <v>3</v>
      </c>
      <c r="AE686" s="4">
        <v>8</v>
      </c>
      <c r="AF686" s="4">
        <v>0</v>
      </c>
      <c r="AG686" s="4">
        <v>0</v>
      </c>
      <c r="AH686" s="4">
        <v>1</v>
      </c>
      <c r="AI686" s="4">
        <v>2</v>
      </c>
      <c r="AJ686" s="4">
        <v>2</v>
      </c>
      <c r="AK686" s="4">
        <v>7</v>
      </c>
      <c r="AL686" s="4">
        <v>0</v>
      </c>
      <c r="AM686" s="4">
        <v>0</v>
      </c>
      <c r="AN686" s="4">
        <v>0</v>
      </c>
      <c r="AO686" s="4">
        <v>0</v>
      </c>
      <c r="AP686" s="3" t="s">
        <v>58</v>
      </c>
      <c r="AQ686" s="3" t="s">
        <v>58</v>
      </c>
      <c r="AS686" s="6" t="str">
        <f>HYPERLINK("https://creighton-primo.hosted.exlibrisgroup.com/primo-explore/search?tab=default_tab&amp;search_scope=EVERYTHING&amp;vid=01CRU&amp;lang=en_US&amp;offset=0&amp;query=any,contains,991005030849702656","Catalog Record")</f>
        <v>Catalog Record</v>
      </c>
      <c r="AT686" s="6" t="str">
        <f>HYPERLINK("http://www.worldcat.org/oclc/6715701","WorldCat Record")</f>
        <v>WorldCat Record</v>
      </c>
      <c r="AU686" s="3" t="s">
        <v>8767</v>
      </c>
      <c r="AV686" s="3" t="s">
        <v>8768</v>
      </c>
      <c r="AW686" s="3" t="s">
        <v>8769</v>
      </c>
      <c r="AX686" s="3" t="s">
        <v>8769</v>
      </c>
      <c r="AY686" s="3" t="s">
        <v>8770</v>
      </c>
      <c r="AZ686" s="3" t="s">
        <v>75</v>
      </c>
      <c r="BC686" s="3" t="s">
        <v>8771</v>
      </c>
      <c r="BD686" s="3" t="s">
        <v>8772</v>
      </c>
    </row>
    <row r="687" spans="1:56" ht="39" customHeight="1" x14ac:dyDescent="0.25">
      <c r="A687" s="7" t="s">
        <v>58</v>
      </c>
      <c r="B687" s="2" t="s">
        <v>8773</v>
      </c>
      <c r="C687" s="2" t="s">
        <v>8774</v>
      </c>
      <c r="D687" s="2" t="s">
        <v>8775</v>
      </c>
      <c r="F687" s="3" t="s">
        <v>58</v>
      </c>
      <c r="G687" s="3" t="s">
        <v>59</v>
      </c>
      <c r="H687" s="3" t="s">
        <v>58</v>
      </c>
      <c r="I687" s="3" t="s">
        <v>132</v>
      </c>
      <c r="J687" s="3" t="s">
        <v>60</v>
      </c>
      <c r="K687" s="2" t="s">
        <v>6001</v>
      </c>
      <c r="L687" s="2" t="s">
        <v>8776</v>
      </c>
      <c r="M687" s="3" t="s">
        <v>2067</v>
      </c>
      <c r="O687" s="3" t="s">
        <v>65</v>
      </c>
      <c r="P687" s="3" t="s">
        <v>66</v>
      </c>
      <c r="R687" s="3" t="s">
        <v>68</v>
      </c>
      <c r="S687" s="4">
        <v>2</v>
      </c>
      <c r="T687" s="4">
        <v>2</v>
      </c>
      <c r="U687" s="5" t="s">
        <v>8777</v>
      </c>
      <c r="V687" s="5" t="s">
        <v>8777</v>
      </c>
      <c r="W687" s="5" t="s">
        <v>8638</v>
      </c>
      <c r="X687" s="5" t="s">
        <v>8638</v>
      </c>
      <c r="Y687" s="4">
        <v>138</v>
      </c>
      <c r="Z687" s="4">
        <v>114</v>
      </c>
      <c r="AA687" s="4">
        <v>548</v>
      </c>
      <c r="AB687" s="4">
        <v>1</v>
      </c>
      <c r="AC687" s="4">
        <v>4</v>
      </c>
      <c r="AD687" s="4">
        <v>5</v>
      </c>
      <c r="AE687" s="4">
        <v>28</v>
      </c>
      <c r="AF687" s="4">
        <v>1</v>
      </c>
      <c r="AG687" s="4">
        <v>12</v>
      </c>
      <c r="AH687" s="4">
        <v>2</v>
      </c>
      <c r="AI687" s="4">
        <v>8</v>
      </c>
      <c r="AJ687" s="4">
        <v>3</v>
      </c>
      <c r="AK687" s="4">
        <v>13</v>
      </c>
      <c r="AL687" s="4">
        <v>0</v>
      </c>
      <c r="AM687" s="4">
        <v>2</v>
      </c>
      <c r="AN687" s="4">
        <v>0</v>
      </c>
      <c r="AO687" s="4">
        <v>1</v>
      </c>
      <c r="AP687" s="3" t="s">
        <v>58</v>
      </c>
      <c r="AQ687" s="3" t="s">
        <v>58</v>
      </c>
      <c r="AS687" s="6" t="str">
        <f>HYPERLINK("https://creighton-primo.hosted.exlibrisgroup.com/primo-explore/search?tab=default_tab&amp;search_scope=EVERYTHING&amp;vid=01CRU&amp;lang=en_US&amp;offset=0&amp;query=any,contains,991000681579702656","Catalog Record")</f>
        <v>Catalog Record</v>
      </c>
      <c r="AT687" s="6" t="str">
        <f>HYPERLINK("http://www.worldcat.org/oclc/12401844","WorldCat Record")</f>
        <v>WorldCat Record</v>
      </c>
      <c r="AU687" s="3" t="s">
        <v>8778</v>
      </c>
      <c r="AV687" s="3" t="s">
        <v>8779</v>
      </c>
      <c r="AW687" s="3" t="s">
        <v>8780</v>
      </c>
      <c r="AX687" s="3" t="s">
        <v>8780</v>
      </c>
      <c r="AY687" s="3" t="s">
        <v>8781</v>
      </c>
      <c r="AZ687" s="3" t="s">
        <v>75</v>
      </c>
      <c r="BC687" s="3" t="s">
        <v>8782</v>
      </c>
      <c r="BD687" s="3" t="s">
        <v>8783</v>
      </c>
    </row>
    <row r="688" spans="1:56" ht="39" customHeight="1" x14ac:dyDescent="0.25">
      <c r="A688" s="7" t="s">
        <v>58</v>
      </c>
      <c r="B688" s="2" t="s">
        <v>8784</v>
      </c>
      <c r="C688" s="2" t="s">
        <v>8785</v>
      </c>
      <c r="D688" s="2" t="s">
        <v>8775</v>
      </c>
      <c r="F688" s="3" t="s">
        <v>58</v>
      </c>
      <c r="G688" s="3" t="s">
        <v>59</v>
      </c>
      <c r="H688" s="3" t="s">
        <v>58</v>
      </c>
      <c r="I688" s="3" t="s">
        <v>132</v>
      </c>
      <c r="J688" s="3" t="s">
        <v>60</v>
      </c>
      <c r="K688" s="2" t="s">
        <v>6001</v>
      </c>
      <c r="L688" s="2" t="s">
        <v>8786</v>
      </c>
      <c r="M688" s="3" t="s">
        <v>2067</v>
      </c>
      <c r="O688" s="3" t="s">
        <v>65</v>
      </c>
      <c r="P688" s="3" t="s">
        <v>186</v>
      </c>
      <c r="Q688" s="2" t="s">
        <v>8787</v>
      </c>
      <c r="R688" s="3" t="s">
        <v>68</v>
      </c>
      <c r="S688" s="4">
        <v>2</v>
      </c>
      <c r="T688" s="4">
        <v>2</v>
      </c>
      <c r="U688" s="5" t="s">
        <v>8788</v>
      </c>
      <c r="V688" s="5" t="s">
        <v>8788</v>
      </c>
      <c r="W688" s="5" t="s">
        <v>8638</v>
      </c>
      <c r="X688" s="5" t="s">
        <v>8638</v>
      </c>
      <c r="Y688" s="4">
        <v>273</v>
      </c>
      <c r="Z688" s="4">
        <v>243</v>
      </c>
      <c r="AA688" s="4">
        <v>548</v>
      </c>
      <c r="AB688" s="4">
        <v>2</v>
      </c>
      <c r="AC688" s="4">
        <v>4</v>
      </c>
      <c r="AD688" s="4">
        <v>18</v>
      </c>
      <c r="AE688" s="4">
        <v>28</v>
      </c>
      <c r="AF688" s="4">
        <v>10</v>
      </c>
      <c r="AG688" s="4">
        <v>12</v>
      </c>
      <c r="AH688" s="4">
        <v>5</v>
      </c>
      <c r="AI688" s="4">
        <v>8</v>
      </c>
      <c r="AJ688" s="4">
        <v>8</v>
      </c>
      <c r="AK688" s="4">
        <v>13</v>
      </c>
      <c r="AL688" s="4">
        <v>1</v>
      </c>
      <c r="AM688" s="4">
        <v>2</v>
      </c>
      <c r="AN688" s="4">
        <v>0</v>
      </c>
      <c r="AO688" s="4">
        <v>1</v>
      </c>
      <c r="AP688" s="3" t="s">
        <v>58</v>
      </c>
      <c r="AQ688" s="3" t="s">
        <v>132</v>
      </c>
      <c r="AR688" s="6" t="str">
        <f>HYPERLINK("http://catalog.hathitrust.org/Record/102071513","HathiTrust Record")</f>
        <v>HathiTrust Record</v>
      </c>
      <c r="AS688" s="6" t="str">
        <f>HYPERLINK("https://creighton-primo.hosted.exlibrisgroup.com/primo-explore/search?tab=default_tab&amp;search_scope=EVERYTHING&amp;vid=01CRU&amp;lang=en_US&amp;offset=0&amp;query=any,contains,991002650969702656","Catalog Record")</f>
        <v>Catalog Record</v>
      </c>
      <c r="AT688" s="6" t="str">
        <f>HYPERLINK("http://www.worldcat.org/oclc/387140","WorldCat Record")</f>
        <v>WorldCat Record</v>
      </c>
      <c r="AU688" s="3" t="s">
        <v>8778</v>
      </c>
      <c r="AV688" s="3" t="s">
        <v>8789</v>
      </c>
      <c r="AW688" s="3" t="s">
        <v>8790</v>
      </c>
      <c r="AX688" s="3" t="s">
        <v>8790</v>
      </c>
      <c r="AY688" s="3" t="s">
        <v>8791</v>
      </c>
      <c r="AZ688" s="3" t="s">
        <v>75</v>
      </c>
      <c r="BC688" s="3" t="s">
        <v>8792</v>
      </c>
      <c r="BD688" s="3" t="s">
        <v>8793</v>
      </c>
    </row>
    <row r="689" spans="1:56" ht="39" customHeight="1" x14ac:dyDescent="0.25">
      <c r="A689" s="7" t="s">
        <v>58</v>
      </c>
      <c r="B689" s="2" t="s">
        <v>8794</v>
      </c>
      <c r="C689" s="2" t="s">
        <v>8795</v>
      </c>
      <c r="D689" s="2" t="s">
        <v>8796</v>
      </c>
      <c r="F689" s="3" t="s">
        <v>58</v>
      </c>
      <c r="G689" s="3" t="s">
        <v>59</v>
      </c>
      <c r="H689" s="3" t="s">
        <v>58</v>
      </c>
      <c r="I689" s="3" t="s">
        <v>58</v>
      </c>
      <c r="J689" s="3" t="s">
        <v>60</v>
      </c>
      <c r="K689" s="2" t="s">
        <v>2177</v>
      </c>
      <c r="L689" s="2" t="s">
        <v>8797</v>
      </c>
      <c r="M689" s="3" t="s">
        <v>682</v>
      </c>
      <c r="O689" s="3" t="s">
        <v>65</v>
      </c>
      <c r="P689" s="3" t="s">
        <v>954</v>
      </c>
      <c r="R689" s="3" t="s">
        <v>68</v>
      </c>
      <c r="S689" s="4">
        <v>2</v>
      </c>
      <c r="T689" s="4">
        <v>2</v>
      </c>
      <c r="U689" s="5" t="s">
        <v>8798</v>
      </c>
      <c r="V689" s="5" t="s">
        <v>8798</v>
      </c>
      <c r="W689" s="5" t="s">
        <v>8638</v>
      </c>
      <c r="X689" s="5" t="s">
        <v>8638</v>
      </c>
      <c r="Y689" s="4">
        <v>196</v>
      </c>
      <c r="Z689" s="4">
        <v>186</v>
      </c>
      <c r="AA689" s="4">
        <v>186</v>
      </c>
      <c r="AB689" s="4">
        <v>1</v>
      </c>
      <c r="AC689" s="4">
        <v>1</v>
      </c>
      <c r="AD689" s="4">
        <v>26</v>
      </c>
      <c r="AE689" s="4">
        <v>26</v>
      </c>
      <c r="AF689" s="4">
        <v>7</v>
      </c>
      <c r="AG689" s="4">
        <v>7</v>
      </c>
      <c r="AH689" s="4">
        <v>8</v>
      </c>
      <c r="AI689" s="4">
        <v>8</v>
      </c>
      <c r="AJ689" s="4">
        <v>21</v>
      </c>
      <c r="AK689" s="4">
        <v>21</v>
      </c>
      <c r="AL689" s="4">
        <v>0</v>
      </c>
      <c r="AM689" s="4">
        <v>0</v>
      </c>
      <c r="AN689" s="4">
        <v>0</v>
      </c>
      <c r="AO689" s="4">
        <v>0</v>
      </c>
      <c r="AP689" s="3" t="s">
        <v>58</v>
      </c>
      <c r="AQ689" s="3" t="s">
        <v>58</v>
      </c>
      <c r="AS689" s="6" t="str">
        <f>HYPERLINK("https://creighton-primo.hosted.exlibrisgroup.com/primo-explore/search?tab=default_tab&amp;search_scope=EVERYTHING&amp;vid=01CRU&amp;lang=en_US&amp;offset=0&amp;query=any,contains,991003292379702656","Catalog Record")</f>
        <v>Catalog Record</v>
      </c>
      <c r="AT689" s="6" t="str">
        <f>HYPERLINK("http://www.worldcat.org/oclc/814364","WorldCat Record")</f>
        <v>WorldCat Record</v>
      </c>
      <c r="AU689" s="3" t="s">
        <v>8799</v>
      </c>
      <c r="AV689" s="3" t="s">
        <v>8800</v>
      </c>
      <c r="AW689" s="3" t="s">
        <v>8801</v>
      </c>
      <c r="AX689" s="3" t="s">
        <v>8801</v>
      </c>
      <c r="AY689" s="3" t="s">
        <v>8802</v>
      </c>
      <c r="AZ689" s="3" t="s">
        <v>75</v>
      </c>
      <c r="BC689" s="3" t="s">
        <v>8803</v>
      </c>
      <c r="BD689" s="3" t="s">
        <v>8804</v>
      </c>
    </row>
    <row r="690" spans="1:56" ht="39" customHeight="1" x14ac:dyDescent="0.25">
      <c r="A690" s="7" t="s">
        <v>58</v>
      </c>
      <c r="B690" s="2" t="s">
        <v>8805</v>
      </c>
      <c r="C690" s="2" t="s">
        <v>8806</v>
      </c>
      <c r="D690" s="2" t="s">
        <v>8807</v>
      </c>
      <c r="F690" s="3" t="s">
        <v>58</v>
      </c>
      <c r="G690" s="3" t="s">
        <v>59</v>
      </c>
      <c r="H690" s="3" t="s">
        <v>58</v>
      </c>
      <c r="I690" s="3" t="s">
        <v>58</v>
      </c>
      <c r="J690" s="3" t="s">
        <v>60</v>
      </c>
      <c r="K690" s="2" t="s">
        <v>8808</v>
      </c>
      <c r="L690" s="2" t="s">
        <v>8809</v>
      </c>
      <c r="M690" s="3" t="s">
        <v>303</v>
      </c>
      <c r="O690" s="3" t="s">
        <v>65</v>
      </c>
      <c r="P690" s="3" t="s">
        <v>66</v>
      </c>
      <c r="R690" s="3" t="s">
        <v>68</v>
      </c>
      <c r="S690" s="4">
        <v>1</v>
      </c>
      <c r="T690" s="4">
        <v>1</v>
      </c>
      <c r="U690" s="5" t="s">
        <v>8810</v>
      </c>
      <c r="V690" s="5" t="s">
        <v>8810</v>
      </c>
      <c r="W690" s="5" t="s">
        <v>8638</v>
      </c>
      <c r="X690" s="5" t="s">
        <v>8638</v>
      </c>
      <c r="Y690" s="4">
        <v>501</v>
      </c>
      <c r="Z690" s="4">
        <v>382</v>
      </c>
      <c r="AA690" s="4">
        <v>382</v>
      </c>
      <c r="AB690" s="4">
        <v>4</v>
      </c>
      <c r="AC690" s="4">
        <v>4</v>
      </c>
      <c r="AD690" s="4">
        <v>34</v>
      </c>
      <c r="AE690" s="4">
        <v>34</v>
      </c>
      <c r="AF690" s="4">
        <v>14</v>
      </c>
      <c r="AG690" s="4">
        <v>14</v>
      </c>
      <c r="AH690" s="4">
        <v>7</v>
      </c>
      <c r="AI690" s="4">
        <v>7</v>
      </c>
      <c r="AJ690" s="4">
        <v>22</v>
      </c>
      <c r="AK690" s="4">
        <v>22</v>
      </c>
      <c r="AL690" s="4">
        <v>2</v>
      </c>
      <c r="AM690" s="4">
        <v>2</v>
      </c>
      <c r="AN690" s="4">
        <v>0</v>
      </c>
      <c r="AO690" s="4">
        <v>0</v>
      </c>
      <c r="AP690" s="3" t="s">
        <v>58</v>
      </c>
      <c r="AQ690" s="3" t="s">
        <v>58</v>
      </c>
      <c r="AS690" s="6" t="str">
        <f>HYPERLINK("https://creighton-primo.hosted.exlibrisgroup.com/primo-explore/search?tab=default_tab&amp;search_scope=EVERYTHING&amp;vid=01CRU&amp;lang=en_US&amp;offset=0&amp;query=any,contains,991004034389702656","Catalog Record")</f>
        <v>Catalog Record</v>
      </c>
      <c r="AT690" s="6" t="str">
        <f>HYPERLINK("http://www.worldcat.org/oclc/2165169","WorldCat Record")</f>
        <v>WorldCat Record</v>
      </c>
      <c r="AU690" s="3" t="s">
        <v>8811</v>
      </c>
      <c r="AV690" s="3" t="s">
        <v>8812</v>
      </c>
      <c r="AW690" s="3" t="s">
        <v>8813</v>
      </c>
      <c r="AX690" s="3" t="s">
        <v>8813</v>
      </c>
      <c r="AY690" s="3" t="s">
        <v>8814</v>
      </c>
      <c r="AZ690" s="3" t="s">
        <v>75</v>
      </c>
      <c r="BB690" s="3" t="s">
        <v>8815</v>
      </c>
      <c r="BC690" s="3" t="s">
        <v>8816</v>
      </c>
      <c r="BD690" s="3" t="s">
        <v>8817</v>
      </c>
    </row>
    <row r="691" spans="1:56" ht="39" customHeight="1" x14ac:dyDescent="0.25">
      <c r="A691" s="7" t="s">
        <v>58</v>
      </c>
      <c r="B691" s="2" t="s">
        <v>8818</v>
      </c>
      <c r="C691" s="2" t="s">
        <v>8819</v>
      </c>
      <c r="D691" s="2" t="s">
        <v>8820</v>
      </c>
      <c r="F691" s="3" t="s">
        <v>58</v>
      </c>
      <c r="G691" s="3" t="s">
        <v>59</v>
      </c>
      <c r="H691" s="3" t="s">
        <v>58</v>
      </c>
      <c r="I691" s="3" t="s">
        <v>58</v>
      </c>
      <c r="J691" s="3" t="s">
        <v>60</v>
      </c>
      <c r="K691" s="2" t="s">
        <v>8821</v>
      </c>
      <c r="L691" s="2" t="s">
        <v>8822</v>
      </c>
      <c r="M691" s="3" t="s">
        <v>112</v>
      </c>
      <c r="O691" s="3" t="s">
        <v>65</v>
      </c>
      <c r="P691" s="3" t="s">
        <v>201</v>
      </c>
      <c r="R691" s="3" t="s">
        <v>68</v>
      </c>
      <c r="S691" s="4">
        <v>3</v>
      </c>
      <c r="T691" s="4">
        <v>3</v>
      </c>
      <c r="U691" s="5" t="s">
        <v>8823</v>
      </c>
      <c r="V691" s="5" t="s">
        <v>8823</v>
      </c>
      <c r="W691" s="5" t="s">
        <v>8824</v>
      </c>
      <c r="X691" s="5" t="s">
        <v>8824</v>
      </c>
      <c r="Y691" s="4">
        <v>134</v>
      </c>
      <c r="Z691" s="4">
        <v>115</v>
      </c>
      <c r="AA691" s="4">
        <v>120</v>
      </c>
      <c r="AB691" s="4">
        <v>2</v>
      </c>
      <c r="AC691" s="4">
        <v>2</v>
      </c>
      <c r="AD691" s="4">
        <v>12</v>
      </c>
      <c r="AE691" s="4">
        <v>13</v>
      </c>
      <c r="AF691" s="4">
        <v>2</v>
      </c>
      <c r="AG691" s="4">
        <v>3</v>
      </c>
      <c r="AH691" s="4">
        <v>2</v>
      </c>
      <c r="AI691" s="4">
        <v>2</v>
      </c>
      <c r="AJ691" s="4">
        <v>10</v>
      </c>
      <c r="AK691" s="4">
        <v>11</v>
      </c>
      <c r="AL691" s="4">
        <v>1</v>
      </c>
      <c r="AM691" s="4">
        <v>1</v>
      </c>
      <c r="AN691" s="4">
        <v>0</v>
      </c>
      <c r="AO691" s="4">
        <v>0</v>
      </c>
      <c r="AP691" s="3" t="s">
        <v>58</v>
      </c>
      <c r="AQ691" s="3" t="s">
        <v>132</v>
      </c>
      <c r="AR691" s="6" t="str">
        <f>HYPERLINK("http://catalog.hathitrust.org/Record/002627728","HathiTrust Record")</f>
        <v>HathiTrust Record</v>
      </c>
      <c r="AS691" s="6" t="str">
        <f>HYPERLINK("https://creighton-primo.hosted.exlibrisgroup.com/primo-explore/search?tab=default_tab&amp;search_scope=EVERYTHING&amp;vid=01CRU&amp;lang=en_US&amp;offset=0&amp;query=any,contains,991002046439702656","Catalog Record")</f>
        <v>Catalog Record</v>
      </c>
      <c r="AT691" s="6" t="str">
        <f>HYPERLINK("http://www.worldcat.org/oclc/26129280","WorldCat Record")</f>
        <v>WorldCat Record</v>
      </c>
      <c r="AU691" s="3" t="s">
        <v>8825</v>
      </c>
      <c r="AV691" s="3" t="s">
        <v>8826</v>
      </c>
      <c r="AW691" s="3" t="s">
        <v>8827</v>
      </c>
      <c r="AX691" s="3" t="s">
        <v>8827</v>
      </c>
      <c r="AY691" s="3" t="s">
        <v>8828</v>
      </c>
      <c r="AZ691" s="3" t="s">
        <v>75</v>
      </c>
      <c r="BB691" s="3" t="s">
        <v>8829</v>
      </c>
      <c r="BC691" s="3" t="s">
        <v>8830</v>
      </c>
      <c r="BD691" s="3" t="s">
        <v>8831</v>
      </c>
    </row>
    <row r="692" spans="1:56" ht="39" customHeight="1" x14ac:dyDescent="0.25">
      <c r="A692" s="7" t="s">
        <v>58</v>
      </c>
      <c r="B692" s="2" t="s">
        <v>8832</v>
      </c>
      <c r="C692" s="2" t="s">
        <v>8833</v>
      </c>
      <c r="D692" s="2" t="s">
        <v>8834</v>
      </c>
      <c r="F692" s="3" t="s">
        <v>58</v>
      </c>
      <c r="G692" s="3" t="s">
        <v>59</v>
      </c>
      <c r="H692" s="3" t="s">
        <v>58</v>
      </c>
      <c r="I692" s="3" t="s">
        <v>58</v>
      </c>
      <c r="J692" s="3" t="s">
        <v>60</v>
      </c>
      <c r="K692" s="2" t="s">
        <v>8835</v>
      </c>
      <c r="L692" s="2" t="s">
        <v>6878</v>
      </c>
      <c r="M692" s="3" t="s">
        <v>759</v>
      </c>
      <c r="O692" s="3" t="s">
        <v>65</v>
      </c>
      <c r="P692" s="3" t="s">
        <v>186</v>
      </c>
      <c r="R692" s="3" t="s">
        <v>68</v>
      </c>
      <c r="S692" s="4">
        <v>6</v>
      </c>
      <c r="T692" s="4">
        <v>6</v>
      </c>
      <c r="U692" s="5" t="s">
        <v>8836</v>
      </c>
      <c r="V692" s="5" t="s">
        <v>8836</v>
      </c>
      <c r="W692" s="5" t="s">
        <v>7022</v>
      </c>
      <c r="X692" s="5" t="s">
        <v>7022</v>
      </c>
      <c r="Y692" s="4">
        <v>131</v>
      </c>
      <c r="Z692" s="4">
        <v>108</v>
      </c>
      <c r="AA692" s="4">
        <v>113</v>
      </c>
      <c r="AB692" s="4">
        <v>1</v>
      </c>
      <c r="AC692" s="4">
        <v>1</v>
      </c>
      <c r="AD692" s="4">
        <v>11</v>
      </c>
      <c r="AE692" s="4">
        <v>11</v>
      </c>
      <c r="AF692" s="4">
        <v>1</v>
      </c>
      <c r="AG692" s="4">
        <v>1</v>
      </c>
      <c r="AH692" s="4">
        <v>3</v>
      </c>
      <c r="AI692" s="4">
        <v>3</v>
      </c>
      <c r="AJ692" s="4">
        <v>8</v>
      </c>
      <c r="AK692" s="4">
        <v>8</v>
      </c>
      <c r="AL692" s="4">
        <v>0</v>
      </c>
      <c r="AM692" s="4">
        <v>0</v>
      </c>
      <c r="AN692" s="4">
        <v>0</v>
      </c>
      <c r="AO692" s="4">
        <v>0</v>
      </c>
      <c r="AP692" s="3" t="s">
        <v>58</v>
      </c>
      <c r="AQ692" s="3" t="s">
        <v>58</v>
      </c>
      <c r="AS692" s="6" t="str">
        <f>HYPERLINK("https://creighton-primo.hosted.exlibrisgroup.com/primo-explore/search?tab=default_tab&amp;search_scope=EVERYTHING&amp;vid=01CRU&amp;lang=en_US&amp;offset=0&amp;query=any,contains,991001341419702656","Catalog Record")</f>
        <v>Catalog Record</v>
      </c>
      <c r="AT692" s="6" t="str">
        <f>HYPERLINK("http://www.worldcat.org/oclc/18382763","WorldCat Record")</f>
        <v>WorldCat Record</v>
      </c>
      <c r="AU692" s="3" t="s">
        <v>8837</v>
      </c>
      <c r="AV692" s="3" t="s">
        <v>8838</v>
      </c>
      <c r="AW692" s="3" t="s">
        <v>8839</v>
      </c>
      <c r="AX692" s="3" t="s">
        <v>8839</v>
      </c>
      <c r="AY692" s="3" t="s">
        <v>8840</v>
      </c>
      <c r="AZ692" s="3" t="s">
        <v>75</v>
      </c>
      <c r="BB692" s="3" t="s">
        <v>8841</v>
      </c>
      <c r="BC692" s="3" t="s">
        <v>8842</v>
      </c>
      <c r="BD692" s="3" t="s">
        <v>8843</v>
      </c>
    </row>
    <row r="693" spans="1:56" ht="39" customHeight="1" x14ac:dyDescent="0.25">
      <c r="A693" s="7" t="s">
        <v>58</v>
      </c>
      <c r="B693" s="2" t="s">
        <v>8844</v>
      </c>
      <c r="C693" s="2" t="s">
        <v>8845</v>
      </c>
      <c r="D693" s="2" t="s">
        <v>8846</v>
      </c>
      <c r="F693" s="3" t="s">
        <v>58</v>
      </c>
      <c r="G693" s="3" t="s">
        <v>59</v>
      </c>
      <c r="H693" s="3" t="s">
        <v>58</v>
      </c>
      <c r="I693" s="3" t="s">
        <v>58</v>
      </c>
      <c r="J693" s="3" t="s">
        <v>60</v>
      </c>
      <c r="K693" s="2" t="s">
        <v>8847</v>
      </c>
      <c r="L693" s="2" t="s">
        <v>7154</v>
      </c>
      <c r="M693" s="3" t="s">
        <v>1150</v>
      </c>
      <c r="O693" s="3" t="s">
        <v>65</v>
      </c>
      <c r="P693" s="3" t="s">
        <v>346</v>
      </c>
      <c r="R693" s="3" t="s">
        <v>68</v>
      </c>
      <c r="S693" s="4">
        <v>7</v>
      </c>
      <c r="T693" s="4">
        <v>7</v>
      </c>
      <c r="U693" s="5" t="s">
        <v>8848</v>
      </c>
      <c r="V693" s="5" t="s">
        <v>8848</v>
      </c>
      <c r="W693" s="5" t="s">
        <v>3728</v>
      </c>
      <c r="X693" s="5" t="s">
        <v>3728</v>
      </c>
      <c r="Y693" s="4">
        <v>398</v>
      </c>
      <c r="Z693" s="4">
        <v>320</v>
      </c>
      <c r="AA693" s="4">
        <v>321</v>
      </c>
      <c r="AB693" s="4">
        <v>6</v>
      </c>
      <c r="AC693" s="4">
        <v>6</v>
      </c>
      <c r="AD693" s="4">
        <v>26</v>
      </c>
      <c r="AE693" s="4">
        <v>26</v>
      </c>
      <c r="AF693" s="4">
        <v>11</v>
      </c>
      <c r="AG693" s="4">
        <v>11</v>
      </c>
      <c r="AH693" s="4">
        <v>3</v>
      </c>
      <c r="AI693" s="4">
        <v>3</v>
      </c>
      <c r="AJ693" s="4">
        <v>15</v>
      </c>
      <c r="AK693" s="4">
        <v>15</v>
      </c>
      <c r="AL693" s="4">
        <v>4</v>
      </c>
      <c r="AM693" s="4">
        <v>4</v>
      </c>
      <c r="AN693" s="4">
        <v>0</v>
      </c>
      <c r="AO693" s="4">
        <v>0</v>
      </c>
      <c r="AP693" s="3" t="s">
        <v>58</v>
      </c>
      <c r="AQ693" s="3" t="s">
        <v>132</v>
      </c>
      <c r="AR693" s="6" t="str">
        <f>HYPERLINK("http://catalog.hathitrust.org/Record/003106014","HathiTrust Record")</f>
        <v>HathiTrust Record</v>
      </c>
      <c r="AS693" s="6" t="str">
        <f>HYPERLINK("https://creighton-primo.hosted.exlibrisgroup.com/primo-explore/search?tab=default_tab&amp;search_scope=EVERYTHING&amp;vid=01CRU&amp;lang=en_US&amp;offset=0&amp;query=any,contains,991005423219702656","Catalog Record")</f>
        <v>Catalog Record</v>
      </c>
      <c r="AT693" s="6" t="str">
        <f>HYPERLINK("http://www.worldcat.org/oclc/34244070","WorldCat Record")</f>
        <v>WorldCat Record</v>
      </c>
      <c r="AU693" s="3" t="s">
        <v>8849</v>
      </c>
      <c r="AV693" s="3" t="s">
        <v>8850</v>
      </c>
      <c r="AW693" s="3" t="s">
        <v>8851</v>
      </c>
      <c r="AX693" s="3" t="s">
        <v>8851</v>
      </c>
      <c r="AY693" s="3" t="s">
        <v>8852</v>
      </c>
      <c r="AZ693" s="3" t="s">
        <v>75</v>
      </c>
      <c r="BB693" s="3" t="s">
        <v>8853</v>
      </c>
      <c r="BC693" s="3" t="s">
        <v>8854</v>
      </c>
      <c r="BD693" s="3" t="s">
        <v>8855</v>
      </c>
    </row>
    <row r="694" spans="1:56" ht="39" customHeight="1" x14ac:dyDescent="0.25">
      <c r="A694" s="7" t="s">
        <v>58</v>
      </c>
      <c r="B694" s="2" t="s">
        <v>8856</v>
      </c>
      <c r="C694" s="2" t="s">
        <v>8857</v>
      </c>
      <c r="D694" s="2" t="s">
        <v>8858</v>
      </c>
      <c r="F694" s="3" t="s">
        <v>58</v>
      </c>
      <c r="G694" s="3" t="s">
        <v>59</v>
      </c>
      <c r="H694" s="3" t="s">
        <v>58</v>
      </c>
      <c r="I694" s="3" t="s">
        <v>58</v>
      </c>
      <c r="J694" s="3" t="s">
        <v>60</v>
      </c>
      <c r="K694" s="2" t="s">
        <v>8859</v>
      </c>
      <c r="L694" s="2" t="s">
        <v>8860</v>
      </c>
      <c r="M694" s="3" t="s">
        <v>2418</v>
      </c>
      <c r="O694" s="3" t="s">
        <v>65</v>
      </c>
      <c r="P694" s="3" t="s">
        <v>186</v>
      </c>
      <c r="Q694" s="2" t="s">
        <v>8861</v>
      </c>
      <c r="R694" s="3" t="s">
        <v>68</v>
      </c>
      <c r="S694" s="4">
        <v>1</v>
      </c>
      <c r="T694" s="4">
        <v>1</v>
      </c>
      <c r="U694" s="5" t="s">
        <v>8862</v>
      </c>
      <c r="V694" s="5" t="s">
        <v>8862</v>
      </c>
      <c r="W694" s="5" t="s">
        <v>8863</v>
      </c>
      <c r="X694" s="5" t="s">
        <v>8863</v>
      </c>
      <c r="Y694" s="4">
        <v>277</v>
      </c>
      <c r="Z694" s="4">
        <v>265</v>
      </c>
      <c r="AA694" s="4">
        <v>396</v>
      </c>
      <c r="AB694" s="4">
        <v>2</v>
      </c>
      <c r="AC694" s="4">
        <v>3</v>
      </c>
      <c r="AD694" s="4">
        <v>17</v>
      </c>
      <c r="AE694" s="4">
        <v>24</v>
      </c>
      <c r="AF694" s="4">
        <v>7</v>
      </c>
      <c r="AG694" s="4">
        <v>10</v>
      </c>
      <c r="AH694" s="4">
        <v>5</v>
      </c>
      <c r="AI694" s="4">
        <v>8</v>
      </c>
      <c r="AJ694" s="4">
        <v>11</v>
      </c>
      <c r="AK694" s="4">
        <v>15</v>
      </c>
      <c r="AL694" s="4">
        <v>0</v>
      </c>
      <c r="AM694" s="4">
        <v>1</v>
      </c>
      <c r="AN694" s="4">
        <v>0</v>
      </c>
      <c r="AO694" s="4">
        <v>0</v>
      </c>
      <c r="AP694" s="3" t="s">
        <v>58</v>
      </c>
      <c r="AQ694" s="3" t="s">
        <v>58</v>
      </c>
      <c r="AS694" s="6" t="str">
        <f>HYPERLINK("https://creighton-primo.hosted.exlibrisgroup.com/primo-explore/search?tab=default_tab&amp;search_scope=EVERYTHING&amp;vid=01CRU&amp;lang=en_US&amp;offset=0&amp;query=any,contains,991002395409702656","Catalog Record")</f>
        <v>Catalog Record</v>
      </c>
      <c r="AT694" s="6" t="str">
        <f>HYPERLINK("http://www.worldcat.org/oclc/334467","WorldCat Record")</f>
        <v>WorldCat Record</v>
      </c>
      <c r="AU694" s="3" t="s">
        <v>8864</v>
      </c>
      <c r="AV694" s="3" t="s">
        <v>8865</v>
      </c>
      <c r="AW694" s="3" t="s">
        <v>8866</v>
      </c>
      <c r="AX694" s="3" t="s">
        <v>8866</v>
      </c>
      <c r="AY694" s="3" t="s">
        <v>8867</v>
      </c>
      <c r="AZ694" s="3" t="s">
        <v>75</v>
      </c>
      <c r="BC694" s="3" t="s">
        <v>8868</v>
      </c>
      <c r="BD694" s="3" t="s">
        <v>8869</v>
      </c>
    </row>
    <row r="695" spans="1:56" ht="39" customHeight="1" x14ac:dyDescent="0.25">
      <c r="A695" s="7" t="s">
        <v>58</v>
      </c>
      <c r="B695" s="2" t="s">
        <v>8870</v>
      </c>
      <c r="C695" s="2" t="s">
        <v>8871</v>
      </c>
      <c r="D695" s="2" t="s">
        <v>8872</v>
      </c>
      <c r="F695" s="3" t="s">
        <v>58</v>
      </c>
      <c r="G695" s="3" t="s">
        <v>59</v>
      </c>
      <c r="H695" s="3" t="s">
        <v>58</v>
      </c>
      <c r="I695" s="3" t="s">
        <v>58</v>
      </c>
      <c r="J695" s="3" t="s">
        <v>60</v>
      </c>
      <c r="K695" s="2" t="s">
        <v>2662</v>
      </c>
      <c r="L695" s="2" t="s">
        <v>8873</v>
      </c>
      <c r="M695" s="3" t="s">
        <v>631</v>
      </c>
      <c r="O695" s="3" t="s">
        <v>65</v>
      </c>
      <c r="P695" s="3" t="s">
        <v>967</v>
      </c>
      <c r="R695" s="3" t="s">
        <v>68</v>
      </c>
      <c r="S695" s="4">
        <v>1</v>
      </c>
      <c r="T695" s="4">
        <v>1</v>
      </c>
      <c r="U695" s="5" t="s">
        <v>3343</v>
      </c>
      <c r="V695" s="5" t="s">
        <v>3343</v>
      </c>
      <c r="W695" s="5" t="s">
        <v>3343</v>
      </c>
      <c r="X695" s="5" t="s">
        <v>3343</v>
      </c>
      <c r="Y695" s="4">
        <v>244</v>
      </c>
      <c r="Z695" s="4">
        <v>195</v>
      </c>
      <c r="AA695" s="4">
        <v>300</v>
      </c>
      <c r="AB695" s="4">
        <v>5</v>
      </c>
      <c r="AC695" s="4">
        <v>5</v>
      </c>
      <c r="AD695" s="4">
        <v>19</v>
      </c>
      <c r="AE695" s="4">
        <v>23</v>
      </c>
      <c r="AF695" s="4">
        <v>5</v>
      </c>
      <c r="AG695" s="4">
        <v>7</v>
      </c>
      <c r="AH695" s="4">
        <v>4</v>
      </c>
      <c r="AI695" s="4">
        <v>5</v>
      </c>
      <c r="AJ695" s="4">
        <v>10</v>
      </c>
      <c r="AK695" s="4">
        <v>13</v>
      </c>
      <c r="AL695" s="4">
        <v>3</v>
      </c>
      <c r="AM695" s="4">
        <v>3</v>
      </c>
      <c r="AN695" s="4">
        <v>0</v>
      </c>
      <c r="AO695" s="4">
        <v>0</v>
      </c>
      <c r="AP695" s="3" t="s">
        <v>58</v>
      </c>
      <c r="AQ695" s="3" t="s">
        <v>58</v>
      </c>
      <c r="AS695" s="6" t="str">
        <f>HYPERLINK("https://creighton-primo.hosted.exlibrisgroup.com/primo-explore/search?tab=default_tab&amp;search_scope=EVERYTHING&amp;vid=01CRU&amp;lang=en_US&amp;offset=0&amp;query=any,contains,991005328449702656","Catalog Record")</f>
        <v>Catalog Record</v>
      </c>
      <c r="AT695" s="6" t="str">
        <f>HYPERLINK("http://www.worldcat.org/oclc/2042035","WorldCat Record")</f>
        <v>WorldCat Record</v>
      </c>
      <c r="AU695" s="3" t="s">
        <v>8874</v>
      </c>
      <c r="AV695" s="3" t="s">
        <v>8875</v>
      </c>
      <c r="AW695" s="3" t="s">
        <v>8876</v>
      </c>
      <c r="AX695" s="3" t="s">
        <v>8876</v>
      </c>
      <c r="AY695" s="3" t="s">
        <v>8877</v>
      </c>
      <c r="AZ695" s="3" t="s">
        <v>75</v>
      </c>
      <c r="BB695" s="3" t="s">
        <v>8878</v>
      </c>
      <c r="BC695" s="3" t="s">
        <v>8879</v>
      </c>
      <c r="BD695" s="3" t="s">
        <v>8880</v>
      </c>
    </row>
    <row r="696" spans="1:56" ht="39" customHeight="1" x14ac:dyDescent="0.25">
      <c r="A696" s="7" t="s">
        <v>58</v>
      </c>
      <c r="B696" s="2" t="s">
        <v>8881</v>
      </c>
      <c r="C696" s="2" t="s">
        <v>8882</v>
      </c>
      <c r="D696" s="2" t="s">
        <v>8883</v>
      </c>
      <c r="F696" s="3" t="s">
        <v>58</v>
      </c>
      <c r="G696" s="3" t="s">
        <v>59</v>
      </c>
      <c r="H696" s="3" t="s">
        <v>58</v>
      </c>
      <c r="I696" s="3" t="s">
        <v>58</v>
      </c>
      <c r="J696" s="3" t="s">
        <v>60</v>
      </c>
      <c r="K696" s="2" t="s">
        <v>8884</v>
      </c>
      <c r="L696" s="2" t="s">
        <v>1660</v>
      </c>
      <c r="M696" s="3" t="s">
        <v>144</v>
      </c>
      <c r="O696" s="3" t="s">
        <v>65</v>
      </c>
      <c r="P696" s="3" t="s">
        <v>186</v>
      </c>
      <c r="R696" s="3" t="s">
        <v>68</v>
      </c>
      <c r="S696" s="4">
        <v>7</v>
      </c>
      <c r="T696" s="4">
        <v>7</v>
      </c>
      <c r="U696" s="5" t="s">
        <v>8885</v>
      </c>
      <c r="V696" s="5" t="s">
        <v>8885</v>
      </c>
      <c r="W696" s="5" t="s">
        <v>8638</v>
      </c>
      <c r="X696" s="5" t="s">
        <v>8638</v>
      </c>
      <c r="Y696" s="4">
        <v>227</v>
      </c>
      <c r="Z696" s="4">
        <v>197</v>
      </c>
      <c r="AA696" s="4">
        <v>229</v>
      </c>
      <c r="AB696" s="4">
        <v>3</v>
      </c>
      <c r="AC696" s="4">
        <v>3</v>
      </c>
      <c r="AD696" s="4">
        <v>16</v>
      </c>
      <c r="AE696" s="4">
        <v>18</v>
      </c>
      <c r="AF696" s="4">
        <v>3</v>
      </c>
      <c r="AG696" s="4">
        <v>4</v>
      </c>
      <c r="AH696" s="4">
        <v>4</v>
      </c>
      <c r="AI696" s="4">
        <v>5</v>
      </c>
      <c r="AJ696" s="4">
        <v>12</v>
      </c>
      <c r="AK696" s="4">
        <v>12</v>
      </c>
      <c r="AL696" s="4">
        <v>1</v>
      </c>
      <c r="AM696" s="4">
        <v>1</v>
      </c>
      <c r="AN696" s="4">
        <v>0</v>
      </c>
      <c r="AO696" s="4">
        <v>0</v>
      </c>
      <c r="AP696" s="3" t="s">
        <v>58</v>
      </c>
      <c r="AQ696" s="3" t="s">
        <v>58</v>
      </c>
      <c r="AS696" s="6" t="str">
        <f>HYPERLINK("https://creighton-primo.hosted.exlibrisgroup.com/primo-explore/search?tab=default_tab&amp;search_scope=EVERYTHING&amp;vid=01CRU&amp;lang=en_US&amp;offset=0&amp;query=any,contains,991004486829702656","Catalog Record")</f>
        <v>Catalog Record</v>
      </c>
      <c r="AT696" s="6" t="str">
        <f>HYPERLINK("http://www.worldcat.org/oclc/3649633","WorldCat Record")</f>
        <v>WorldCat Record</v>
      </c>
      <c r="AU696" s="3" t="s">
        <v>8886</v>
      </c>
      <c r="AV696" s="3" t="s">
        <v>8887</v>
      </c>
      <c r="AW696" s="3" t="s">
        <v>8888</v>
      </c>
      <c r="AX696" s="3" t="s">
        <v>8888</v>
      </c>
      <c r="AY696" s="3" t="s">
        <v>8889</v>
      </c>
      <c r="AZ696" s="3" t="s">
        <v>75</v>
      </c>
      <c r="BB696" s="3" t="s">
        <v>8890</v>
      </c>
      <c r="BC696" s="3" t="s">
        <v>8891</v>
      </c>
      <c r="BD696" s="3" t="s">
        <v>8892</v>
      </c>
    </row>
    <row r="697" spans="1:56" ht="39" customHeight="1" x14ac:dyDescent="0.25">
      <c r="A697" s="7" t="s">
        <v>58</v>
      </c>
      <c r="B697" s="2" t="s">
        <v>8893</v>
      </c>
      <c r="C697" s="2" t="s">
        <v>8894</v>
      </c>
      <c r="D697" s="2" t="s">
        <v>8895</v>
      </c>
      <c r="F697" s="3" t="s">
        <v>58</v>
      </c>
      <c r="G697" s="3" t="s">
        <v>59</v>
      </c>
      <c r="H697" s="3" t="s">
        <v>58</v>
      </c>
      <c r="I697" s="3" t="s">
        <v>58</v>
      </c>
      <c r="J697" s="3" t="s">
        <v>60</v>
      </c>
      <c r="K697" s="2" t="s">
        <v>8896</v>
      </c>
      <c r="L697" s="2" t="s">
        <v>8897</v>
      </c>
      <c r="M697" s="3" t="s">
        <v>462</v>
      </c>
      <c r="O697" s="3" t="s">
        <v>65</v>
      </c>
      <c r="P697" s="3" t="s">
        <v>186</v>
      </c>
      <c r="Q697" s="2" t="s">
        <v>8898</v>
      </c>
      <c r="R697" s="3" t="s">
        <v>68</v>
      </c>
      <c r="S697" s="4">
        <v>5</v>
      </c>
      <c r="T697" s="4">
        <v>5</v>
      </c>
      <c r="U697" s="5" t="s">
        <v>8899</v>
      </c>
      <c r="V697" s="5" t="s">
        <v>8899</v>
      </c>
      <c r="W697" s="5" t="s">
        <v>8638</v>
      </c>
      <c r="X697" s="5" t="s">
        <v>8638</v>
      </c>
      <c r="Y697" s="4">
        <v>480</v>
      </c>
      <c r="Z697" s="4">
        <v>387</v>
      </c>
      <c r="AA697" s="4">
        <v>391</v>
      </c>
      <c r="AB697" s="4">
        <v>4</v>
      </c>
      <c r="AC697" s="4">
        <v>4</v>
      </c>
      <c r="AD697" s="4">
        <v>36</v>
      </c>
      <c r="AE697" s="4">
        <v>36</v>
      </c>
      <c r="AF697" s="4">
        <v>13</v>
      </c>
      <c r="AG697" s="4">
        <v>13</v>
      </c>
      <c r="AH697" s="4">
        <v>9</v>
      </c>
      <c r="AI697" s="4">
        <v>9</v>
      </c>
      <c r="AJ697" s="4">
        <v>24</v>
      </c>
      <c r="AK697" s="4">
        <v>24</v>
      </c>
      <c r="AL697" s="4">
        <v>2</v>
      </c>
      <c r="AM697" s="4">
        <v>2</v>
      </c>
      <c r="AN697" s="4">
        <v>0</v>
      </c>
      <c r="AO697" s="4">
        <v>0</v>
      </c>
      <c r="AP697" s="3" t="s">
        <v>58</v>
      </c>
      <c r="AQ697" s="3" t="s">
        <v>132</v>
      </c>
      <c r="AR697" s="6" t="str">
        <f>HYPERLINK("http://catalog.hathitrust.org/Record/000167209","HathiTrust Record")</f>
        <v>HathiTrust Record</v>
      </c>
      <c r="AS697" s="6" t="str">
        <f>HYPERLINK("https://creighton-primo.hosted.exlibrisgroup.com/primo-explore/search?tab=default_tab&amp;search_scope=EVERYTHING&amp;vid=01CRU&amp;lang=en_US&amp;offset=0&amp;query=any,contains,991000290759702656","Catalog Record")</f>
        <v>Catalog Record</v>
      </c>
      <c r="AT697" s="6" t="str">
        <f>HYPERLINK("http://www.worldcat.org/oclc/9968940","WorldCat Record")</f>
        <v>WorldCat Record</v>
      </c>
      <c r="AU697" s="3" t="s">
        <v>8900</v>
      </c>
      <c r="AV697" s="3" t="s">
        <v>8901</v>
      </c>
      <c r="AW697" s="3" t="s">
        <v>8902</v>
      </c>
      <c r="AX697" s="3" t="s">
        <v>8902</v>
      </c>
      <c r="AY697" s="3" t="s">
        <v>8903</v>
      </c>
      <c r="AZ697" s="3" t="s">
        <v>75</v>
      </c>
      <c r="BB697" s="3" t="s">
        <v>8904</v>
      </c>
      <c r="BC697" s="3" t="s">
        <v>8905</v>
      </c>
      <c r="BD697" s="3" t="s">
        <v>8906</v>
      </c>
    </row>
    <row r="698" spans="1:56" ht="39" customHeight="1" x14ac:dyDescent="0.25">
      <c r="A698" s="7" t="s">
        <v>58</v>
      </c>
      <c r="B698" s="2" t="s">
        <v>8907</v>
      </c>
      <c r="C698" s="2" t="s">
        <v>8908</v>
      </c>
      <c r="D698" s="2" t="s">
        <v>8909</v>
      </c>
      <c r="F698" s="3" t="s">
        <v>58</v>
      </c>
      <c r="G698" s="3" t="s">
        <v>59</v>
      </c>
      <c r="H698" s="3" t="s">
        <v>58</v>
      </c>
      <c r="I698" s="3" t="s">
        <v>58</v>
      </c>
      <c r="J698" s="3" t="s">
        <v>60</v>
      </c>
      <c r="K698" s="2" t="s">
        <v>8910</v>
      </c>
      <c r="L698" s="2" t="s">
        <v>8911</v>
      </c>
      <c r="M698" s="3" t="s">
        <v>2418</v>
      </c>
      <c r="O698" s="3" t="s">
        <v>65</v>
      </c>
      <c r="P698" s="3" t="s">
        <v>84</v>
      </c>
      <c r="R698" s="3" t="s">
        <v>68</v>
      </c>
      <c r="S698" s="4">
        <v>1</v>
      </c>
      <c r="T698" s="4">
        <v>1</v>
      </c>
      <c r="U698" s="5" t="s">
        <v>8912</v>
      </c>
      <c r="V698" s="5" t="s">
        <v>8912</v>
      </c>
      <c r="W698" s="5" t="s">
        <v>8638</v>
      </c>
      <c r="X698" s="5" t="s">
        <v>8638</v>
      </c>
      <c r="Y698" s="4">
        <v>295</v>
      </c>
      <c r="Z698" s="4">
        <v>257</v>
      </c>
      <c r="AA698" s="4">
        <v>264</v>
      </c>
      <c r="AB698" s="4">
        <v>4</v>
      </c>
      <c r="AC698" s="4">
        <v>4</v>
      </c>
      <c r="AD698" s="4">
        <v>29</v>
      </c>
      <c r="AE698" s="4">
        <v>29</v>
      </c>
      <c r="AF698" s="4">
        <v>10</v>
      </c>
      <c r="AG698" s="4">
        <v>10</v>
      </c>
      <c r="AH698" s="4">
        <v>6</v>
      </c>
      <c r="AI698" s="4">
        <v>6</v>
      </c>
      <c r="AJ698" s="4">
        <v>18</v>
      </c>
      <c r="AK698" s="4">
        <v>18</v>
      </c>
      <c r="AL698" s="4">
        <v>3</v>
      </c>
      <c r="AM698" s="4">
        <v>3</v>
      </c>
      <c r="AN698" s="4">
        <v>0</v>
      </c>
      <c r="AO698" s="4">
        <v>0</v>
      </c>
      <c r="AP698" s="3" t="s">
        <v>58</v>
      </c>
      <c r="AQ698" s="3" t="s">
        <v>132</v>
      </c>
      <c r="AR698" s="6" t="str">
        <f>HYPERLINK("http://catalog.hathitrust.org/Record/006019434","HathiTrust Record")</f>
        <v>HathiTrust Record</v>
      </c>
      <c r="AS698" s="6" t="str">
        <f>HYPERLINK("https://creighton-primo.hosted.exlibrisgroup.com/primo-explore/search?tab=default_tab&amp;search_scope=EVERYTHING&amp;vid=01CRU&amp;lang=en_US&amp;offset=0&amp;query=any,contains,991002260569702656","Catalog Record")</f>
        <v>Catalog Record</v>
      </c>
      <c r="AT698" s="6" t="str">
        <f>HYPERLINK("http://www.worldcat.org/oclc/303971","WorldCat Record")</f>
        <v>WorldCat Record</v>
      </c>
      <c r="AU698" s="3" t="s">
        <v>8913</v>
      </c>
      <c r="AV698" s="3" t="s">
        <v>8914</v>
      </c>
      <c r="AW698" s="3" t="s">
        <v>8915</v>
      </c>
      <c r="AX698" s="3" t="s">
        <v>8915</v>
      </c>
      <c r="AY698" s="3" t="s">
        <v>8916</v>
      </c>
      <c r="AZ698" s="3" t="s">
        <v>75</v>
      </c>
      <c r="BB698" s="3" t="s">
        <v>8917</v>
      </c>
      <c r="BC698" s="3" t="s">
        <v>8918</v>
      </c>
      <c r="BD698" s="3" t="s">
        <v>8919</v>
      </c>
    </row>
    <row r="699" spans="1:56" ht="39" customHeight="1" x14ac:dyDescent="0.25">
      <c r="A699" s="7" t="s">
        <v>58</v>
      </c>
      <c r="B699" s="2" t="s">
        <v>8920</v>
      </c>
      <c r="C699" s="2" t="s">
        <v>8921</v>
      </c>
      <c r="D699" s="2" t="s">
        <v>8922</v>
      </c>
      <c r="F699" s="3" t="s">
        <v>58</v>
      </c>
      <c r="G699" s="3" t="s">
        <v>59</v>
      </c>
      <c r="H699" s="3" t="s">
        <v>58</v>
      </c>
      <c r="I699" s="3" t="s">
        <v>58</v>
      </c>
      <c r="J699" s="3" t="s">
        <v>60</v>
      </c>
      <c r="K699" s="2" t="s">
        <v>2382</v>
      </c>
      <c r="L699" s="2" t="s">
        <v>8923</v>
      </c>
      <c r="M699" s="3" t="s">
        <v>655</v>
      </c>
      <c r="O699" s="3" t="s">
        <v>65</v>
      </c>
      <c r="P699" s="3" t="s">
        <v>186</v>
      </c>
      <c r="R699" s="3" t="s">
        <v>68</v>
      </c>
      <c r="S699" s="4">
        <v>3</v>
      </c>
      <c r="T699" s="4">
        <v>3</v>
      </c>
      <c r="U699" s="5" t="s">
        <v>8924</v>
      </c>
      <c r="V699" s="5" t="s">
        <v>8924</v>
      </c>
      <c r="W699" s="5" t="s">
        <v>8638</v>
      </c>
      <c r="X699" s="5" t="s">
        <v>8638</v>
      </c>
      <c r="Y699" s="4">
        <v>664</v>
      </c>
      <c r="Z699" s="4">
        <v>579</v>
      </c>
      <c r="AA699" s="4">
        <v>594</v>
      </c>
      <c r="AB699" s="4">
        <v>5</v>
      </c>
      <c r="AC699" s="4">
        <v>5</v>
      </c>
      <c r="AD699" s="4">
        <v>34</v>
      </c>
      <c r="AE699" s="4">
        <v>34</v>
      </c>
      <c r="AF699" s="4">
        <v>13</v>
      </c>
      <c r="AG699" s="4">
        <v>13</v>
      </c>
      <c r="AH699" s="4">
        <v>8</v>
      </c>
      <c r="AI699" s="4">
        <v>8</v>
      </c>
      <c r="AJ699" s="4">
        <v>18</v>
      </c>
      <c r="AK699" s="4">
        <v>18</v>
      </c>
      <c r="AL699" s="4">
        <v>3</v>
      </c>
      <c r="AM699" s="4">
        <v>3</v>
      </c>
      <c r="AN699" s="4">
        <v>0</v>
      </c>
      <c r="AO699" s="4">
        <v>0</v>
      </c>
      <c r="AP699" s="3" t="s">
        <v>58</v>
      </c>
      <c r="AQ699" s="3" t="s">
        <v>132</v>
      </c>
      <c r="AR699" s="6" t="str">
        <f>HYPERLINK("http://catalog.hathitrust.org/Record/001401057","HathiTrust Record")</f>
        <v>HathiTrust Record</v>
      </c>
      <c r="AS699" s="6" t="str">
        <f>HYPERLINK("https://creighton-primo.hosted.exlibrisgroup.com/primo-explore/search?tab=default_tab&amp;search_scope=EVERYTHING&amp;vid=01CRU&amp;lang=en_US&amp;offset=0&amp;query=any,contains,991003101029702656","Catalog Record")</f>
        <v>Catalog Record</v>
      </c>
      <c r="AT699" s="6" t="str">
        <f>HYPERLINK("http://www.worldcat.org/oclc/649938","WorldCat Record")</f>
        <v>WorldCat Record</v>
      </c>
      <c r="AU699" s="3" t="s">
        <v>8925</v>
      </c>
      <c r="AV699" s="3" t="s">
        <v>8926</v>
      </c>
      <c r="AW699" s="3" t="s">
        <v>8927</v>
      </c>
      <c r="AX699" s="3" t="s">
        <v>8927</v>
      </c>
      <c r="AY699" s="3" t="s">
        <v>8928</v>
      </c>
      <c r="AZ699" s="3" t="s">
        <v>75</v>
      </c>
      <c r="BB699" s="3" t="s">
        <v>8929</v>
      </c>
      <c r="BC699" s="3" t="s">
        <v>8930</v>
      </c>
      <c r="BD699" s="3" t="s">
        <v>8931</v>
      </c>
    </row>
    <row r="700" spans="1:56" ht="39" customHeight="1" x14ac:dyDescent="0.25">
      <c r="A700" s="7" t="s">
        <v>58</v>
      </c>
      <c r="B700" s="2" t="s">
        <v>8932</v>
      </c>
      <c r="C700" s="2" t="s">
        <v>8933</v>
      </c>
      <c r="D700" s="2" t="s">
        <v>8934</v>
      </c>
      <c r="F700" s="3" t="s">
        <v>58</v>
      </c>
      <c r="G700" s="3" t="s">
        <v>59</v>
      </c>
      <c r="H700" s="3" t="s">
        <v>58</v>
      </c>
      <c r="I700" s="3" t="s">
        <v>58</v>
      </c>
      <c r="J700" s="3" t="s">
        <v>60</v>
      </c>
      <c r="L700" s="2" t="s">
        <v>8935</v>
      </c>
      <c r="M700" s="3" t="s">
        <v>670</v>
      </c>
      <c r="O700" s="3" t="s">
        <v>65</v>
      </c>
      <c r="P700" s="3" t="s">
        <v>84</v>
      </c>
      <c r="R700" s="3" t="s">
        <v>68</v>
      </c>
      <c r="S700" s="4">
        <v>1</v>
      </c>
      <c r="T700" s="4">
        <v>1</v>
      </c>
      <c r="U700" s="5" t="s">
        <v>8936</v>
      </c>
      <c r="V700" s="5" t="s">
        <v>8936</v>
      </c>
      <c r="W700" s="5" t="s">
        <v>8638</v>
      </c>
      <c r="X700" s="5" t="s">
        <v>8638</v>
      </c>
      <c r="Y700" s="4">
        <v>404</v>
      </c>
      <c r="Z700" s="4">
        <v>364</v>
      </c>
      <c r="AA700" s="4">
        <v>386</v>
      </c>
      <c r="AB700" s="4">
        <v>2</v>
      </c>
      <c r="AC700" s="4">
        <v>2</v>
      </c>
      <c r="AD700" s="4">
        <v>26</v>
      </c>
      <c r="AE700" s="4">
        <v>27</v>
      </c>
      <c r="AF700" s="4">
        <v>10</v>
      </c>
      <c r="AG700" s="4">
        <v>11</v>
      </c>
      <c r="AH700" s="4">
        <v>7</v>
      </c>
      <c r="AI700" s="4">
        <v>7</v>
      </c>
      <c r="AJ700" s="4">
        <v>17</v>
      </c>
      <c r="AK700" s="4">
        <v>17</v>
      </c>
      <c r="AL700" s="4">
        <v>1</v>
      </c>
      <c r="AM700" s="4">
        <v>1</v>
      </c>
      <c r="AN700" s="4">
        <v>0</v>
      </c>
      <c r="AO700" s="4">
        <v>0</v>
      </c>
      <c r="AP700" s="3" t="s">
        <v>58</v>
      </c>
      <c r="AQ700" s="3" t="s">
        <v>58</v>
      </c>
      <c r="AS700" s="6" t="str">
        <f>HYPERLINK("https://creighton-primo.hosted.exlibrisgroup.com/primo-explore/search?tab=default_tab&amp;search_scope=EVERYTHING&amp;vid=01CRU&amp;lang=en_US&amp;offset=0&amp;query=any,contains,991000518719702656","Catalog Record")</f>
        <v>Catalog Record</v>
      </c>
      <c r="AT700" s="6" t="str">
        <f>HYPERLINK("http://www.worldcat.org/oclc/87176","WorldCat Record")</f>
        <v>WorldCat Record</v>
      </c>
      <c r="AU700" s="3" t="s">
        <v>8937</v>
      </c>
      <c r="AV700" s="3" t="s">
        <v>8938</v>
      </c>
      <c r="AW700" s="3" t="s">
        <v>8939</v>
      </c>
      <c r="AX700" s="3" t="s">
        <v>8939</v>
      </c>
      <c r="AY700" s="3" t="s">
        <v>8940</v>
      </c>
      <c r="AZ700" s="3" t="s">
        <v>75</v>
      </c>
      <c r="BC700" s="3" t="s">
        <v>8941</v>
      </c>
      <c r="BD700" s="3" t="s">
        <v>8942</v>
      </c>
    </row>
    <row r="701" spans="1:56" ht="39" customHeight="1" x14ac:dyDescent="0.25">
      <c r="A701" s="7" t="s">
        <v>58</v>
      </c>
      <c r="B701" s="2" t="s">
        <v>8943</v>
      </c>
      <c r="C701" s="2" t="s">
        <v>8944</v>
      </c>
      <c r="D701" s="2" t="s">
        <v>8945</v>
      </c>
      <c r="F701" s="3" t="s">
        <v>58</v>
      </c>
      <c r="G701" s="3" t="s">
        <v>59</v>
      </c>
      <c r="H701" s="3" t="s">
        <v>58</v>
      </c>
      <c r="I701" s="3" t="s">
        <v>58</v>
      </c>
      <c r="J701" s="3" t="s">
        <v>60</v>
      </c>
      <c r="K701" s="2" t="s">
        <v>8946</v>
      </c>
      <c r="L701" s="2" t="s">
        <v>8947</v>
      </c>
      <c r="M701" s="3" t="s">
        <v>1723</v>
      </c>
      <c r="O701" s="3" t="s">
        <v>65</v>
      </c>
      <c r="P701" s="3" t="s">
        <v>186</v>
      </c>
      <c r="R701" s="3" t="s">
        <v>68</v>
      </c>
      <c r="S701" s="4">
        <v>2</v>
      </c>
      <c r="T701" s="4">
        <v>2</v>
      </c>
      <c r="U701" s="5" t="s">
        <v>8948</v>
      </c>
      <c r="V701" s="5" t="s">
        <v>8948</v>
      </c>
      <c r="W701" s="5" t="s">
        <v>8949</v>
      </c>
      <c r="X701" s="5" t="s">
        <v>8949</v>
      </c>
      <c r="Y701" s="4">
        <v>57</v>
      </c>
      <c r="Z701" s="4">
        <v>50</v>
      </c>
      <c r="AA701" s="4">
        <v>70</v>
      </c>
      <c r="AB701" s="4">
        <v>1</v>
      </c>
      <c r="AC701" s="4">
        <v>1</v>
      </c>
      <c r="AD701" s="4">
        <v>7</v>
      </c>
      <c r="AE701" s="4">
        <v>8</v>
      </c>
      <c r="AF701" s="4">
        <v>1</v>
      </c>
      <c r="AG701" s="4">
        <v>1</v>
      </c>
      <c r="AH701" s="4">
        <v>2</v>
      </c>
      <c r="AI701" s="4">
        <v>3</v>
      </c>
      <c r="AJ701" s="4">
        <v>6</v>
      </c>
      <c r="AK701" s="4">
        <v>7</v>
      </c>
      <c r="AL701" s="4">
        <v>0</v>
      </c>
      <c r="AM701" s="4">
        <v>0</v>
      </c>
      <c r="AN701" s="4">
        <v>0</v>
      </c>
      <c r="AO701" s="4">
        <v>0</v>
      </c>
      <c r="AP701" s="3" t="s">
        <v>58</v>
      </c>
      <c r="AQ701" s="3" t="s">
        <v>58</v>
      </c>
      <c r="AS701" s="6" t="str">
        <f>HYPERLINK("https://creighton-primo.hosted.exlibrisgroup.com/primo-explore/search?tab=default_tab&amp;search_scope=EVERYTHING&amp;vid=01CRU&amp;lang=en_US&amp;offset=0&amp;query=any,contains,991003517979702656","Catalog Record")</f>
        <v>Catalog Record</v>
      </c>
      <c r="AT701" s="6" t="str">
        <f>HYPERLINK("http://www.worldcat.org/oclc/44972160","WorldCat Record")</f>
        <v>WorldCat Record</v>
      </c>
      <c r="AU701" s="3" t="s">
        <v>8950</v>
      </c>
      <c r="AV701" s="3" t="s">
        <v>8951</v>
      </c>
      <c r="AW701" s="3" t="s">
        <v>8952</v>
      </c>
      <c r="AX701" s="3" t="s">
        <v>8952</v>
      </c>
      <c r="AY701" s="3" t="s">
        <v>8953</v>
      </c>
      <c r="AZ701" s="3" t="s">
        <v>75</v>
      </c>
      <c r="BB701" s="3" t="s">
        <v>8954</v>
      </c>
      <c r="BC701" s="3" t="s">
        <v>8955</v>
      </c>
      <c r="BD701" s="3" t="s">
        <v>8956</v>
      </c>
    </row>
    <row r="702" spans="1:56" ht="39" customHeight="1" x14ac:dyDescent="0.25">
      <c r="A702" s="7" t="s">
        <v>58</v>
      </c>
      <c r="B702" s="2" t="s">
        <v>8957</v>
      </c>
      <c r="C702" s="2" t="s">
        <v>8958</v>
      </c>
      <c r="D702" s="2" t="s">
        <v>8959</v>
      </c>
      <c r="F702" s="3" t="s">
        <v>58</v>
      </c>
      <c r="G702" s="3" t="s">
        <v>59</v>
      </c>
      <c r="H702" s="3" t="s">
        <v>58</v>
      </c>
      <c r="I702" s="3" t="s">
        <v>58</v>
      </c>
      <c r="J702" s="3" t="s">
        <v>60</v>
      </c>
      <c r="K702" s="2" t="s">
        <v>8960</v>
      </c>
      <c r="L702" s="2" t="s">
        <v>8961</v>
      </c>
      <c r="M702" s="3" t="s">
        <v>144</v>
      </c>
      <c r="O702" s="3" t="s">
        <v>65</v>
      </c>
      <c r="P702" s="3" t="s">
        <v>186</v>
      </c>
      <c r="R702" s="3" t="s">
        <v>68</v>
      </c>
      <c r="S702" s="4">
        <v>3</v>
      </c>
      <c r="T702" s="4">
        <v>3</v>
      </c>
      <c r="U702" s="5" t="s">
        <v>8962</v>
      </c>
      <c r="V702" s="5" t="s">
        <v>8962</v>
      </c>
      <c r="W702" s="5" t="s">
        <v>8638</v>
      </c>
      <c r="X702" s="5" t="s">
        <v>8638</v>
      </c>
      <c r="Y702" s="4">
        <v>411</v>
      </c>
      <c r="Z702" s="4">
        <v>371</v>
      </c>
      <c r="AA702" s="4">
        <v>396</v>
      </c>
      <c r="AB702" s="4">
        <v>6</v>
      </c>
      <c r="AC702" s="4">
        <v>6</v>
      </c>
      <c r="AD702" s="4">
        <v>36</v>
      </c>
      <c r="AE702" s="4">
        <v>37</v>
      </c>
      <c r="AF702" s="4">
        <v>13</v>
      </c>
      <c r="AG702" s="4">
        <v>13</v>
      </c>
      <c r="AH702" s="4">
        <v>7</v>
      </c>
      <c r="AI702" s="4">
        <v>7</v>
      </c>
      <c r="AJ702" s="4">
        <v>23</v>
      </c>
      <c r="AK702" s="4">
        <v>24</v>
      </c>
      <c r="AL702" s="4">
        <v>4</v>
      </c>
      <c r="AM702" s="4">
        <v>4</v>
      </c>
      <c r="AN702" s="4">
        <v>0</v>
      </c>
      <c r="AO702" s="4">
        <v>0</v>
      </c>
      <c r="AP702" s="3" t="s">
        <v>58</v>
      </c>
      <c r="AQ702" s="3" t="s">
        <v>132</v>
      </c>
      <c r="AR702" s="6" t="str">
        <f>HYPERLINK("http://catalog.hathitrust.org/Record/007115372","HathiTrust Record")</f>
        <v>HathiTrust Record</v>
      </c>
      <c r="AS702" s="6" t="str">
        <f>HYPERLINK("https://creighton-primo.hosted.exlibrisgroup.com/primo-explore/search?tab=default_tab&amp;search_scope=EVERYTHING&amp;vid=01CRU&amp;lang=en_US&amp;offset=0&amp;query=any,contains,991004589989702656","Catalog Record")</f>
        <v>Catalog Record</v>
      </c>
      <c r="AT702" s="6" t="str">
        <f>HYPERLINK("http://www.worldcat.org/oclc/4114608","WorldCat Record")</f>
        <v>WorldCat Record</v>
      </c>
      <c r="AU702" s="3" t="s">
        <v>8963</v>
      </c>
      <c r="AV702" s="3" t="s">
        <v>8964</v>
      </c>
      <c r="AW702" s="3" t="s">
        <v>8965</v>
      </c>
      <c r="AX702" s="3" t="s">
        <v>8965</v>
      </c>
      <c r="AY702" s="3" t="s">
        <v>8966</v>
      </c>
      <c r="AZ702" s="3" t="s">
        <v>75</v>
      </c>
      <c r="BB702" s="3" t="s">
        <v>8967</v>
      </c>
      <c r="BC702" s="3" t="s">
        <v>8968</v>
      </c>
      <c r="BD702" s="3" t="s">
        <v>8969</v>
      </c>
    </row>
    <row r="703" spans="1:56" ht="39" customHeight="1" x14ac:dyDescent="0.25">
      <c r="A703" s="7" t="s">
        <v>58</v>
      </c>
      <c r="B703" s="2" t="s">
        <v>8970</v>
      </c>
      <c r="C703" s="2" t="s">
        <v>8971</v>
      </c>
      <c r="D703" s="2" t="s">
        <v>8972</v>
      </c>
      <c r="F703" s="3" t="s">
        <v>58</v>
      </c>
      <c r="G703" s="3" t="s">
        <v>59</v>
      </c>
      <c r="H703" s="3" t="s">
        <v>58</v>
      </c>
      <c r="I703" s="3" t="s">
        <v>58</v>
      </c>
      <c r="J703" s="3" t="s">
        <v>60</v>
      </c>
      <c r="K703" s="2" t="s">
        <v>8973</v>
      </c>
      <c r="L703" s="2" t="s">
        <v>8974</v>
      </c>
      <c r="M703" s="3" t="s">
        <v>631</v>
      </c>
      <c r="O703" s="3" t="s">
        <v>65</v>
      </c>
      <c r="P703" s="3" t="s">
        <v>84</v>
      </c>
      <c r="R703" s="3" t="s">
        <v>68</v>
      </c>
      <c r="S703" s="4">
        <v>2</v>
      </c>
      <c r="T703" s="4">
        <v>2</v>
      </c>
      <c r="U703" s="5" t="s">
        <v>8975</v>
      </c>
      <c r="V703" s="5" t="s">
        <v>8975</v>
      </c>
      <c r="W703" s="5" t="s">
        <v>8638</v>
      </c>
      <c r="X703" s="5" t="s">
        <v>8638</v>
      </c>
      <c r="Y703" s="4">
        <v>601</v>
      </c>
      <c r="Z703" s="4">
        <v>517</v>
      </c>
      <c r="AA703" s="4">
        <v>525</v>
      </c>
      <c r="AB703" s="4">
        <v>8</v>
      </c>
      <c r="AC703" s="4">
        <v>8</v>
      </c>
      <c r="AD703" s="4">
        <v>37</v>
      </c>
      <c r="AE703" s="4">
        <v>38</v>
      </c>
      <c r="AF703" s="4">
        <v>12</v>
      </c>
      <c r="AG703" s="4">
        <v>13</v>
      </c>
      <c r="AH703" s="4">
        <v>6</v>
      </c>
      <c r="AI703" s="4">
        <v>6</v>
      </c>
      <c r="AJ703" s="4">
        <v>22</v>
      </c>
      <c r="AK703" s="4">
        <v>22</v>
      </c>
      <c r="AL703" s="4">
        <v>7</v>
      </c>
      <c r="AM703" s="4">
        <v>7</v>
      </c>
      <c r="AN703" s="4">
        <v>0</v>
      </c>
      <c r="AO703" s="4">
        <v>0</v>
      </c>
      <c r="AP703" s="3" t="s">
        <v>58</v>
      </c>
      <c r="AQ703" s="3" t="s">
        <v>132</v>
      </c>
      <c r="AR703" s="6" t="str">
        <f>HYPERLINK("http://catalog.hathitrust.org/Record/007112911","HathiTrust Record")</f>
        <v>HathiTrust Record</v>
      </c>
      <c r="AS703" s="6" t="str">
        <f>HYPERLINK("https://creighton-primo.hosted.exlibrisgroup.com/primo-explore/search?tab=default_tab&amp;search_scope=EVERYTHING&amp;vid=01CRU&amp;lang=en_US&amp;offset=0&amp;query=any,contains,991003758719702656","Catalog Record")</f>
        <v>Catalog Record</v>
      </c>
      <c r="AT703" s="6" t="str">
        <f>HYPERLINK("http://www.worldcat.org/oclc/1442591","WorldCat Record")</f>
        <v>WorldCat Record</v>
      </c>
      <c r="AU703" s="3" t="s">
        <v>8976</v>
      </c>
      <c r="AV703" s="3" t="s">
        <v>8977</v>
      </c>
      <c r="AW703" s="3" t="s">
        <v>8978</v>
      </c>
      <c r="AX703" s="3" t="s">
        <v>8978</v>
      </c>
      <c r="AY703" s="3" t="s">
        <v>8979</v>
      </c>
      <c r="AZ703" s="3" t="s">
        <v>75</v>
      </c>
      <c r="BB703" s="3" t="s">
        <v>8980</v>
      </c>
      <c r="BC703" s="3" t="s">
        <v>8981</v>
      </c>
      <c r="BD703" s="3" t="s">
        <v>8982</v>
      </c>
    </row>
    <row r="704" spans="1:56" ht="39" customHeight="1" x14ac:dyDescent="0.25">
      <c r="A704" s="7" t="s">
        <v>58</v>
      </c>
      <c r="B704" s="2" t="s">
        <v>8983</v>
      </c>
      <c r="C704" s="2" t="s">
        <v>8984</v>
      </c>
      <c r="D704" s="2" t="s">
        <v>8985</v>
      </c>
      <c r="F704" s="3" t="s">
        <v>58</v>
      </c>
      <c r="G704" s="3" t="s">
        <v>59</v>
      </c>
      <c r="H704" s="3" t="s">
        <v>58</v>
      </c>
      <c r="I704" s="3" t="s">
        <v>58</v>
      </c>
      <c r="J704" s="3" t="s">
        <v>60</v>
      </c>
      <c r="K704" s="2" t="s">
        <v>8986</v>
      </c>
      <c r="L704" s="2" t="s">
        <v>8987</v>
      </c>
      <c r="M704" s="3" t="s">
        <v>682</v>
      </c>
      <c r="O704" s="3" t="s">
        <v>65</v>
      </c>
      <c r="P704" s="3" t="s">
        <v>84</v>
      </c>
      <c r="Q704" s="2" t="s">
        <v>8988</v>
      </c>
      <c r="R704" s="3" t="s">
        <v>68</v>
      </c>
      <c r="S704" s="4">
        <v>0</v>
      </c>
      <c r="T704" s="4">
        <v>0</v>
      </c>
      <c r="U704" s="5" t="s">
        <v>8989</v>
      </c>
      <c r="V704" s="5" t="s">
        <v>8989</v>
      </c>
      <c r="W704" s="5" t="s">
        <v>8638</v>
      </c>
      <c r="X704" s="5" t="s">
        <v>8638</v>
      </c>
      <c r="Y704" s="4">
        <v>290</v>
      </c>
      <c r="Z704" s="4">
        <v>248</v>
      </c>
      <c r="AA704" s="4">
        <v>252</v>
      </c>
      <c r="AB704" s="4">
        <v>3</v>
      </c>
      <c r="AC704" s="4">
        <v>3</v>
      </c>
      <c r="AD704" s="4">
        <v>22</v>
      </c>
      <c r="AE704" s="4">
        <v>22</v>
      </c>
      <c r="AF704" s="4">
        <v>10</v>
      </c>
      <c r="AG704" s="4">
        <v>10</v>
      </c>
      <c r="AH704" s="4">
        <v>5</v>
      </c>
      <c r="AI704" s="4">
        <v>5</v>
      </c>
      <c r="AJ704" s="4">
        <v>13</v>
      </c>
      <c r="AK704" s="4">
        <v>13</v>
      </c>
      <c r="AL704" s="4">
        <v>2</v>
      </c>
      <c r="AM704" s="4">
        <v>2</v>
      </c>
      <c r="AN704" s="4">
        <v>0</v>
      </c>
      <c r="AO704" s="4">
        <v>0</v>
      </c>
      <c r="AP704" s="3" t="s">
        <v>58</v>
      </c>
      <c r="AQ704" s="3" t="s">
        <v>58</v>
      </c>
      <c r="AR704" s="6" t="str">
        <f>HYPERLINK("http://catalog.hathitrust.org/Record/001414885","HathiTrust Record")</f>
        <v>HathiTrust Record</v>
      </c>
      <c r="AS704" s="6" t="str">
        <f>HYPERLINK("https://creighton-primo.hosted.exlibrisgroup.com/primo-explore/search?tab=default_tab&amp;search_scope=EVERYTHING&amp;vid=01CRU&amp;lang=en_US&amp;offset=0&amp;query=any,contains,991002329569702656","Catalog Record")</f>
        <v>Catalog Record</v>
      </c>
      <c r="AT704" s="6" t="str">
        <f>HYPERLINK("http://www.worldcat.org/oclc/322134","WorldCat Record")</f>
        <v>WorldCat Record</v>
      </c>
      <c r="AU704" s="3" t="s">
        <v>8990</v>
      </c>
      <c r="AV704" s="3" t="s">
        <v>8991</v>
      </c>
      <c r="AW704" s="3" t="s">
        <v>8992</v>
      </c>
      <c r="AX704" s="3" t="s">
        <v>8992</v>
      </c>
      <c r="AY704" s="3" t="s">
        <v>8993</v>
      </c>
      <c r="AZ704" s="3" t="s">
        <v>75</v>
      </c>
      <c r="BC704" s="3" t="s">
        <v>8994</v>
      </c>
      <c r="BD704" s="3" t="s">
        <v>8995</v>
      </c>
    </row>
    <row r="705" spans="1:56" ht="39" customHeight="1" x14ac:dyDescent="0.25">
      <c r="A705" s="7" t="s">
        <v>58</v>
      </c>
      <c r="B705" s="2" t="s">
        <v>8996</v>
      </c>
      <c r="C705" s="2" t="s">
        <v>8997</v>
      </c>
      <c r="D705" s="2" t="s">
        <v>8998</v>
      </c>
      <c r="F705" s="3" t="s">
        <v>58</v>
      </c>
      <c r="G705" s="3" t="s">
        <v>59</v>
      </c>
      <c r="H705" s="3" t="s">
        <v>58</v>
      </c>
      <c r="I705" s="3" t="s">
        <v>58</v>
      </c>
      <c r="J705" s="3" t="s">
        <v>60</v>
      </c>
      <c r="K705" s="2" t="s">
        <v>8999</v>
      </c>
      <c r="L705" s="2" t="s">
        <v>9000</v>
      </c>
      <c r="M705" s="3" t="s">
        <v>682</v>
      </c>
      <c r="O705" s="3" t="s">
        <v>65</v>
      </c>
      <c r="P705" s="3" t="s">
        <v>1358</v>
      </c>
      <c r="R705" s="3" t="s">
        <v>68</v>
      </c>
      <c r="S705" s="4">
        <v>2</v>
      </c>
      <c r="T705" s="4">
        <v>2</v>
      </c>
      <c r="U705" s="5" t="s">
        <v>9001</v>
      </c>
      <c r="V705" s="5" t="s">
        <v>9001</v>
      </c>
      <c r="W705" s="5" t="s">
        <v>8638</v>
      </c>
      <c r="X705" s="5" t="s">
        <v>8638</v>
      </c>
      <c r="Y705" s="4">
        <v>131</v>
      </c>
      <c r="Z705" s="4">
        <v>117</v>
      </c>
      <c r="AA705" s="4">
        <v>117</v>
      </c>
      <c r="AB705" s="4">
        <v>1</v>
      </c>
      <c r="AC705" s="4">
        <v>1</v>
      </c>
      <c r="AD705" s="4">
        <v>19</v>
      </c>
      <c r="AE705" s="4">
        <v>19</v>
      </c>
      <c r="AF705" s="4">
        <v>9</v>
      </c>
      <c r="AG705" s="4">
        <v>9</v>
      </c>
      <c r="AH705" s="4">
        <v>5</v>
      </c>
      <c r="AI705" s="4">
        <v>5</v>
      </c>
      <c r="AJ705" s="4">
        <v>13</v>
      </c>
      <c r="AK705" s="4">
        <v>13</v>
      </c>
      <c r="AL705" s="4">
        <v>0</v>
      </c>
      <c r="AM705" s="4">
        <v>0</v>
      </c>
      <c r="AN705" s="4">
        <v>0</v>
      </c>
      <c r="AO705" s="4">
        <v>0</v>
      </c>
      <c r="AP705" s="3" t="s">
        <v>58</v>
      </c>
      <c r="AQ705" s="3" t="s">
        <v>58</v>
      </c>
      <c r="AS705" s="6" t="str">
        <f>HYPERLINK("https://creighton-primo.hosted.exlibrisgroup.com/primo-explore/search?tab=default_tab&amp;search_scope=EVERYTHING&amp;vid=01CRU&amp;lang=en_US&amp;offset=0&amp;query=any,contains,991003920289702656","Catalog Record")</f>
        <v>Catalog Record</v>
      </c>
      <c r="AT705" s="6" t="str">
        <f>HYPERLINK("http://www.worldcat.org/oclc/1869502","WorldCat Record")</f>
        <v>WorldCat Record</v>
      </c>
      <c r="AU705" s="3" t="s">
        <v>9002</v>
      </c>
      <c r="AV705" s="3" t="s">
        <v>9003</v>
      </c>
      <c r="AW705" s="3" t="s">
        <v>9004</v>
      </c>
      <c r="AX705" s="3" t="s">
        <v>9004</v>
      </c>
      <c r="AY705" s="3" t="s">
        <v>9005</v>
      </c>
      <c r="AZ705" s="3" t="s">
        <v>75</v>
      </c>
      <c r="BC705" s="3" t="s">
        <v>9006</v>
      </c>
      <c r="BD705" s="3" t="s">
        <v>9007</v>
      </c>
    </row>
    <row r="706" spans="1:56" ht="39" customHeight="1" x14ac:dyDescent="0.25">
      <c r="A706" s="7" t="s">
        <v>58</v>
      </c>
      <c r="B706" s="2" t="s">
        <v>9008</v>
      </c>
      <c r="C706" s="2" t="s">
        <v>9009</v>
      </c>
      <c r="D706" s="2" t="s">
        <v>9010</v>
      </c>
      <c r="F706" s="3" t="s">
        <v>58</v>
      </c>
      <c r="G706" s="3" t="s">
        <v>59</v>
      </c>
      <c r="H706" s="3" t="s">
        <v>58</v>
      </c>
      <c r="I706" s="3" t="s">
        <v>58</v>
      </c>
      <c r="J706" s="3" t="s">
        <v>60</v>
      </c>
      <c r="K706" s="2" t="s">
        <v>9011</v>
      </c>
      <c r="L706" s="2" t="s">
        <v>9012</v>
      </c>
      <c r="M706" s="3" t="s">
        <v>709</v>
      </c>
      <c r="O706" s="3" t="s">
        <v>65</v>
      </c>
      <c r="P706" s="3" t="s">
        <v>158</v>
      </c>
      <c r="Q706" s="2" t="s">
        <v>9013</v>
      </c>
      <c r="R706" s="3" t="s">
        <v>68</v>
      </c>
      <c r="S706" s="4">
        <v>4</v>
      </c>
      <c r="T706" s="4">
        <v>4</v>
      </c>
      <c r="U706" s="5" t="s">
        <v>9014</v>
      </c>
      <c r="V706" s="5" t="s">
        <v>9014</v>
      </c>
      <c r="W706" s="5" t="s">
        <v>9015</v>
      </c>
      <c r="X706" s="5" t="s">
        <v>9015</v>
      </c>
      <c r="Y706" s="4">
        <v>179</v>
      </c>
      <c r="Z706" s="4">
        <v>133</v>
      </c>
      <c r="AA706" s="4">
        <v>209</v>
      </c>
      <c r="AB706" s="4">
        <v>1</v>
      </c>
      <c r="AC706" s="4">
        <v>1</v>
      </c>
      <c r="AD706" s="4">
        <v>12</v>
      </c>
      <c r="AE706" s="4">
        <v>22</v>
      </c>
      <c r="AF706" s="4">
        <v>7</v>
      </c>
      <c r="AG706" s="4">
        <v>9</v>
      </c>
      <c r="AH706" s="4">
        <v>3</v>
      </c>
      <c r="AI706" s="4">
        <v>6</v>
      </c>
      <c r="AJ706" s="4">
        <v>8</v>
      </c>
      <c r="AK706" s="4">
        <v>16</v>
      </c>
      <c r="AL706" s="4">
        <v>0</v>
      </c>
      <c r="AM706" s="4">
        <v>0</v>
      </c>
      <c r="AN706" s="4">
        <v>0</v>
      </c>
      <c r="AO706" s="4">
        <v>0</v>
      </c>
      <c r="AP706" s="3" t="s">
        <v>58</v>
      </c>
      <c r="AQ706" s="3" t="s">
        <v>132</v>
      </c>
      <c r="AR706" s="6" t="str">
        <f>HYPERLINK("http://catalog.hathitrust.org/Record/002431261","HathiTrust Record")</f>
        <v>HathiTrust Record</v>
      </c>
      <c r="AS706" s="6" t="str">
        <f>HYPERLINK("https://creighton-primo.hosted.exlibrisgroup.com/primo-explore/search?tab=default_tab&amp;search_scope=EVERYTHING&amp;vid=01CRU&amp;lang=en_US&amp;offset=0&amp;query=any,contains,991001811089702656","Catalog Record")</f>
        <v>Catalog Record</v>
      </c>
      <c r="AT706" s="6" t="str">
        <f>HYPERLINK("http://www.worldcat.org/oclc/22738002","WorldCat Record")</f>
        <v>WorldCat Record</v>
      </c>
      <c r="AU706" s="3" t="s">
        <v>9016</v>
      </c>
      <c r="AV706" s="3" t="s">
        <v>9017</v>
      </c>
      <c r="AW706" s="3" t="s">
        <v>9018</v>
      </c>
      <c r="AX706" s="3" t="s">
        <v>9018</v>
      </c>
      <c r="AY706" s="3" t="s">
        <v>9019</v>
      </c>
      <c r="AZ706" s="3" t="s">
        <v>75</v>
      </c>
      <c r="BB706" s="3" t="s">
        <v>9020</v>
      </c>
      <c r="BC706" s="3" t="s">
        <v>9021</v>
      </c>
      <c r="BD706" s="3" t="s">
        <v>9022</v>
      </c>
    </row>
    <row r="707" spans="1:56" ht="39" customHeight="1" x14ac:dyDescent="0.25">
      <c r="A707" s="7" t="s">
        <v>58</v>
      </c>
      <c r="B707" s="2" t="s">
        <v>9023</v>
      </c>
      <c r="C707" s="2" t="s">
        <v>9024</v>
      </c>
      <c r="D707" s="2" t="s">
        <v>9025</v>
      </c>
      <c r="F707" s="3" t="s">
        <v>58</v>
      </c>
      <c r="G707" s="3" t="s">
        <v>59</v>
      </c>
      <c r="H707" s="3" t="s">
        <v>58</v>
      </c>
      <c r="I707" s="3" t="s">
        <v>58</v>
      </c>
      <c r="J707" s="3" t="s">
        <v>60</v>
      </c>
      <c r="K707" s="2" t="s">
        <v>9026</v>
      </c>
      <c r="L707" s="2" t="s">
        <v>9027</v>
      </c>
      <c r="M707" s="3" t="s">
        <v>4281</v>
      </c>
      <c r="O707" s="3" t="s">
        <v>65</v>
      </c>
      <c r="P707" s="3" t="s">
        <v>158</v>
      </c>
      <c r="R707" s="3" t="s">
        <v>68</v>
      </c>
      <c r="S707" s="4">
        <v>2</v>
      </c>
      <c r="T707" s="4">
        <v>2</v>
      </c>
      <c r="U707" s="5" t="s">
        <v>9028</v>
      </c>
      <c r="V707" s="5" t="s">
        <v>9028</v>
      </c>
      <c r="W707" s="5" t="s">
        <v>6257</v>
      </c>
      <c r="X707" s="5" t="s">
        <v>6257</v>
      </c>
      <c r="Y707" s="4">
        <v>109</v>
      </c>
      <c r="Z707" s="4">
        <v>98</v>
      </c>
      <c r="AA707" s="4">
        <v>104</v>
      </c>
      <c r="AB707" s="4">
        <v>1</v>
      </c>
      <c r="AC707" s="4">
        <v>1</v>
      </c>
      <c r="AD707" s="4">
        <v>6</v>
      </c>
      <c r="AE707" s="4">
        <v>7</v>
      </c>
      <c r="AF707" s="4">
        <v>3</v>
      </c>
      <c r="AG707" s="4">
        <v>4</v>
      </c>
      <c r="AH707" s="4">
        <v>2</v>
      </c>
      <c r="AI707" s="4">
        <v>3</v>
      </c>
      <c r="AJ707" s="4">
        <v>4</v>
      </c>
      <c r="AK707" s="4">
        <v>4</v>
      </c>
      <c r="AL707" s="4">
        <v>0</v>
      </c>
      <c r="AM707" s="4">
        <v>0</v>
      </c>
      <c r="AN707" s="4">
        <v>0</v>
      </c>
      <c r="AO707" s="4">
        <v>0</v>
      </c>
      <c r="AP707" s="3" t="s">
        <v>58</v>
      </c>
      <c r="AQ707" s="3" t="s">
        <v>58</v>
      </c>
      <c r="AS707" s="6" t="str">
        <f>HYPERLINK("https://creighton-primo.hosted.exlibrisgroup.com/primo-explore/search?tab=default_tab&amp;search_scope=EVERYTHING&amp;vid=01CRU&amp;lang=en_US&amp;offset=0&amp;query=any,contains,991004423079702656","Catalog Record")</f>
        <v>Catalog Record</v>
      </c>
      <c r="AT707" s="6" t="str">
        <f>HYPERLINK("http://www.worldcat.org/oclc/54611367","WorldCat Record")</f>
        <v>WorldCat Record</v>
      </c>
      <c r="AU707" s="3" t="s">
        <v>9029</v>
      </c>
      <c r="AV707" s="3" t="s">
        <v>9030</v>
      </c>
      <c r="AW707" s="3" t="s">
        <v>9031</v>
      </c>
      <c r="AX707" s="3" t="s">
        <v>9031</v>
      </c>
      <c r="AY707" s="3" t="s">
        <v>9032</v>
      </c>
      <c r="AZ707" s="3" t="s">
        <v>75</v>
      </c>
      <c r="BB707" s="3" t="s">
        <v>9033</v>
      </c>
      <c r="BC707" s="3" t="s">
        <v>9034</v>
      </c>
      <c r="BD707" s="3" t="s">
        <v>9035</v>
      </c>
    </row>
    <row r="708" spans="1:56" ht="39" customHeight="1" x14ac:dyDescent="0.25">
      <c r="A708" s="7" t="s">
        <v>58</v>
      </c>
      <c r="B708" s="2" t="s">
        <v>9036</v>
      </c>
      <c r="C708" s="2" t="s">
        <v>9037</v>
      </c>
      <c r="D708" s="2" t="s">
        <v>9038</v>
      </c>
      <c r="F708" s="3" t="s">
        <v>58</v>
      </c>
      <c r="G708" s="3" t="s">
        <v>59</v>
      </c>
      <c r="H708" s="3" t="s">
        <v>58</v>
      </c>
      <c r="I708" s="3" t="s">
        <v>58</v>
      </c>
      <c r="J708" s="3" t="s">
        <v>60</v>
      </c>
      <c r="K708" s="2" t="s">
        <v>9039</v>
      </c>
      <c r="L708" s="2" t="s">
        <v>9040</v>
      </c>
      <c r="M708" s="3" t="s">
        <v>1289</v>
      </c>
      <c r="O708" s="3" t="s">
        <v>65</v>
      </c>
      <c r="P708" s="3" t="s">
        <v>113</v>
      </c>
      <c r="R708" s="3" t="s">
        <v>68</v>
      </c>
      <c r="S708" s="4">
        <v>2</v>
      </c>
      <c r="T708" s="4">
        <v>2</v>
      </c>
      <c r="U708" s="5" t="s">
        <v>9041</v>
      </c>
      <c r="V708" s="5" t="s">
        <v>9041</v>
      </c>
      <c r="W708" s="5" t="s">
        <v>159</v>
      </c>
      <c r="X708" s="5" t="s">
        <v>159</v>
      </c>
      <c r="Y708" s="4">
        <v>371</v>
      </c>
      <c r="Z708" s="4">
        <v>333</v>
      </c>
      <c r="AA708" s="4">
        <v>343</v>
      </c>
      <c r="AB708" s="4">
        <v>2</v>
      </c>
      <c r="AC708" s="4">
        <v>2</v>
      </c>
      <c r="AD708" s="4">
        <v>32</v>
      </c>
      <c r="AE708" s="4">
        <v>33</v>
      </c>
      <c r="AF708" s="4">
        <v>15</v>
      </c>
      <c r="AG708" s="4">
        <v>16</v>
      </c>
      <c r="AH708" s="4">
        <v>6</v>
      </c>
      <c r="AI708" s="4">
        <v>7</v>
      </c>
      <c r="AJ708" s="4">
        <v>20</v>
      </c>
      <c r="AK708" s="4">
        <v>20</v>
      </c>
      <c r="AL708" s="4">
        <v>1</v>
      </c>
      <c r="AM708" s="4">
        <v>1</v>
      </c>
      <c r="AN708" s="4">
        <v>0</v>
      </c>
      <c r="AO708" s="4">
        <v>0</v>
      </c>
      <c r="AP708" s="3" t="s">
        <v>58</v>
      </c>
      <c r="AQ708" s="3" t="s">
        <v>58</v>
      </c>
      <c r="AS708" s="6" t="str">
        <f>HYPERLINK("https://creighton-primo.hosted.exlibrisgroup.com/primo-explore/search?tab=default_tab&amp;search_scope=EVERYTHING&amp;vid=01CRU&amp;lang=en_US&amp;offset=0&amp;query=any,contains,991004683319702656","Catalog Record")</f>
        <v>Catalog Record</v>
      </c>
      <c r="AT708" s="6" t="str">
        <f>HYPERLINK("http://www.worldcat.org/oclc/50684735","WorldCat Record")</f>
        <v>WorldCat Record</v>
      </c>
      <c r="AU708" s="3" t="s">
        <v>9042</v>
      </c>
      <c r="AV708" s="3" t="s">
        <v>9043</v>
      </c>
      <c r="AW708" s="3" t="s">
        <v>9044</v>
      </c>
      <c r="AX708" s="3" t="s">
        <v>9044</v>
      </c>
      <c r="AY708" s="3" t="s">
        <v>9045</v>
      </c>
      <c r="AZ708" s="3" t="s">
        <v>75</v>
      </c>
      <c r="BB708" s="3" t="s">
        <v>9046</v>
      </c>
      <c r="BC708" s="3" t="s">
        <v>9047</v>
      </c>
      <c r="BD708" s="3" t="s">
        <v>9048</v>
      </c>
    </row>
    <row r="709" spans="1:56" ht="39" customHeight="1" x14ac:dyDescent="0.25">
      <c r="A709" s="7" t="s">
        <v>58</v>
      </c>
      <c r="B709" s="2" t="s">
        <v>9049</v>
      </c>
      <c r="C709" s="2" t="s">
        <v>9050</v>
      </c>
      <c r="D709" s="2" t="s">
        <v>9051</v>
      </c>
      <c r="F709" s="3" t="s">
        <v>58</v>
      </c>
      <c r="G709" s="3" t="s">
        <v>59</v>
      </c>
      <c r="H709" s="3" t="s">
        <v>58</v>
      </c>
      <c r="I709" s="3" t="s">
        <v>58</v>
      </c>
      <c r="J709" s="3" t="s">
        <v>60</v>
      </c>
      <c r="K709" s="2" t="s">
        <v>9052</v>
      </c>
      <c r="L709" s="2" t="s">
        <v>9053</v>
      </c>
      <c r="M709" s="3" t="s">
        <v>655</v>
      </c>
      <c r="O709" s="3" t="s">
        <v>65</v>
      </c>
      <c r="P709" s="3" t="s">
        <v>84</v>
      </c>
      <c r="R709" s="3" t="s">
        <v>68</v>
      </c>
      <c r="S709" s="4">
        <v>1</v>
      </c>
      <c r="T709" s="4">
        <v>1</v>
      </c>
      <c r="U709" s="5" t="s">
        <v>9054</v>
      </c>
      <c r="V709" s="5" t="s">
        <v>9054</v>
      </c>
      <c r="W709" s="5" t="s">
        <v>8638</v>
      </c>
      <c r="X709" s="5" t="s">
        <v>8638</v>
      </c>
      <c r="Y709" s="4">
        <v>165</v>
      </c>
      <c r="Z709" s="4">
        <v>161</v>
      </c>
      <c r="AA709" s="4">
        <v>161</v>
      </c>
      <c r="AB709" s="4">
        <v>1</v>
      </c>
      <c r="AC709" s="4">
        <v>1</v>
      </c>
      <c r="AD709" s="4">
        <v>16</v>
      </c>
      <c r="AE709" s="4">
        <v>16</v>
      </c>
      <c r="AF709" s="4">
        <v>6</v>
      </c>
      <c r="AG709" s="4">
        <v>6</v>
      </c>
      <c r="AH709" s="4">
        <v>5</v>
      </c>
      <c r="AI709" s="4">
        <v>5</v>
      </c>
      <c r="AJ709" s="4">
        <v>12</v>
      </c>
      <c r="AK709" s="4">
        <v>12</v>
      </c>
      <c r="AL709" s="4">
        <v>0</v>
      </c>
      <c r="AM709" s="4">
        <v>0</v>
      </c>
      <c r="AN709" s="4">
        <v>0</v>
      </c>
      <c r="AO709" s="4">
        <v>0</v>
      </c>
      <c r="AP709" s="3" t="s">
        <v>58</v>
      </c>
      <c r="AQ709" s="3" t="s">
        <v>58</v>
      </c>
      <c r="AS709" s="6" t="str">
        <f>HYPERLINK("https://creighton-primo.hosted.exlibrisgroup.com/primo-explore/search?tab=default_tab&amp;search_scope=EVERYTHING&amp;vid=01CRU&amp;lang=en_US&amp;offset=0&amp;query=any,contains,991003128699702656","Catalog Record")</f>
        <v>Catalog Record</v>
      </c>
      <c r="AT709" s="6" t="str">
        <f>HYPERLINK("http://www.worldcat.org/oclc/672035","WorldCat Record")</f>
        <v>WorldCat Record</v>
      </c>
      <c r="AU709" s="3" t="s">
        <v>9055</v>
      </c>
      <c r="AV709" s="3" t="s">
        <v>9056</v>
      </c>
      <c r="AW709" s="3" t="s">
        <v>9057</v>
      </c>
      <c r="AX709" s="3" t="s">
        <v>9057</v>
      </c>
      <c r="AY709" s="3" t="s">
        <v>9058</v>
      </c>
      <c r="AZ709" s="3" t="s">
        <v>75</v>
      </c>
      <c r="BB709" s="3" t="s">
        <v>9059</v>
      </c>
      <c r="BC709" s="3" t="s">
        <v>9060</v>
      </c>
      <c r="BD709" s="3" t="s">
        <v>9061</v>
      </c>
    </row>
    <row r="710" spans="1:56" ht="39" customHeight="1" x14ac:dyDescent="0.25">
      <c r="A710" s="7" t="s">
        <v>58</v>
      </c>
      <c r="B710" s="2" t="s">
        <v>9062</v>
      </c>
      <c r="C710" s="2" t="s">
        <v>9063</v>
      </c>
      <c r="D710" s="2" t="s">
        <v>9064</v>
      </c>
      <c r="F710" s="3" t="s">
        <v>58</v>
      </c>
      <c r="G710" s="3" t="s">
        <v>59</v>
      </c>
      <c r="H710" s="3" t="s">
        <v>58</v>
      </c>
      <c r="I710" s="3" t="s">
        <v>58</v>
      </c>
      <c r="J710" s="3" t="s">
        <v>60</v>
      </c>
      <c r="K710" s="2" t="s">
        <v>9065</v>
      </c>
      <c r="L710" s="2" t="s">
        <v>9066</v>
      </c>
      <c r="M710" s="3" t="s">
        <v>781</v>
      </c>
      <c r="O710" s="3" t="s">
        <v>65</v>
      </c>
      <c r="P710" s="3" t="s">
        <v>571</v>
      </c>
      <c r="R710" s="3" t="s">
        <v>68</v>
      </c>
      <c r="S710" s="4">
        <v>4</v>
      </c>
      <c r="T710" s="4">
        <v>4</v>
      </c>
      <c r="U710" s="5" t="s">
        <v>6306</v>
      </c>
      <c r="V710" s="5" t="s">
        <v>6306</v>
      </c>
      <c r="W710" s="5" t="s">
        <v>4257</v>
      </c>
      <c r="X710" s="5" t="s">
        <v>4257</v>
      </c>
      <c r="Y710" s="4">
        <v>59</v>
      </c>
      <c r="Z710" s="4">
        <v>51</v>
      </c>
      <c r="AA710" s="4">
        <v>84</v>
      </c>
      <c r="AB710" s="4">
        <v>1</v>
      </c>
      <c r="AC710" s="4">
        <v>1</v>
      </c>
      <c r="AD710" s="4">
        <v>8</v>
      </c>
      <c r="AE710" s="4">
        <v>8</v>
      </c>
      <c r="AF710" s="4">
        <v>1</v>
      </c>
      <c r="AG710" s="4">
        <v>1</v>
      </c>
      <c r="AH710" s="4">
        <v>2</v>
      </c>
      <c r="AI710" s="4">
        <v>2</v>
      </c>
      <c r="AJ710" s="4">
        <v>7</v>
      </c>
      <c r="AK710" s="4">
        <v>7</v>
      </c>
      <c r="AL710" s="4">
        <v>0</v>
      </c>
      <c r="AM710" s="4">
        <v>0</v>
      </c>
      <c r="AN710" s="4">
        <v>0</v>
      </c>
      <c r="AO710" s="4">
        <v>0</v>
      </c>
      <c r="AP710" s="3" t="s">
        <v>58</v>
      </c>
      <c r="AQ710" s="3" t="s">
        <v>58</v>
      </c>
      <c r="AS710" s="6" t="str">
        <f>HYPERLINK("https://creighton-primo.hosted.exlibrisgroup.com/primo-explore/search?tab=default_tab&amp;search_scope=EVERYTHING&amp;vid=01CRU&amp;lang=en_US&amp;offset=0&amp;query=any,contains,991000746219702656","Catalog Record")</f>
        <v>Catalog Record</v>
      </c>
      <c r="AT710" s="6" t="str">
        <f>HYPERLINK("http://www.worldcat.org/oclc/12848311","WorldCat Record")</f>
        <v>WorldCat Record</v>
      </c>
      <c r="AU710" s="3" t="s">
        <v>9067</v>
      </c>
      <c r="AV710" s="3" t="s">
        <v>9068</v>
      </c>
      <c r="AW710" s="3" t="s">
        <v>9069</v>
      </c>
      <c r="AX710" s="3" t="s">
        <v>9069</v>
      </c>
      <c r="AY710" s="3" t="s">
        <v>9070</v>
      </c>
      <c r="AZ710" s="3" t="s">
        <v>75</v>
      </c>
      <c r="BB710" s="3" t="s">
        <v>9071</v>
      </c>
      <c r="BC710" s="3" t="s">
        <v>9072</v>
      </c>
      <c r="BD710" s="3" t="s">
        <v>9073</v>
      </c>
    </row>
    <row r="711" spans="1:56" ht="39" customHeight="1" x14ac:dyDescent="0.25">
      <c r="A711" s="7" t="s">
        <v>58</v>
      </c>
      <c r="B711" s="2" t="s">
        <v>9074</v>
      </c>
      <c r="C711" s="2" t="s">
        <v>9075</v>
      </c>
      <c r="D711" s="2" t="s">
        <v>9076</v>
      </c>
      <c r="F711" s="3" t="s">
        <v>58</v>
      </c>
      <c r="G711" s="3" t="s">
        <v>59</v>
      </c>
      <c r="H711" s="3" t="s">
        <v>58</v>
      </c>
      <c r="I711" s="3" t="s">
        <v>58</v>
      </c>
      <c r="J711" s="3" t="s">
        <v>60</v>
      </c>
      <c r="K711" s="2" t="s">
        <v>9077</v>
      </c>
      <c r="L711" s="2" t="s">
        <v>9078</v>
      </c>
      <c r="M711" s="3" t="s">
        <v>670</v>
      </c>
      <c r="O711" s="3" t="s">
        <v>65</v>
      </c>
      <c r="P711" s="3" t="s">
        <v>84</v>
      </c>
      <c r="R711" s="3" t="s">
        <v>68</v>
      </c>
      <c r="S711" s="4">
        <v>8</v>
      </c>
      <c r="T711" s="4">
        <v>8</v>
      </c>
      <c r="U711" s="5" t="s">
        <v>9079</v>
      </c>
      <c r="V711" s="5" t="s">
        <v>9079</v>
      </c>
      <c r="W711" s="5" t="s">
        <v>8638</v>
      </c>
      <c r="X711" s="5" t="s">
        <v>8638</v>
      </c>
      <c r="Y711" s="4">
        <v>303</v>
      </c>
      <c r="Z711" s="4">
        <v>283</v>
      </c>
      <c r="AA711" s="4">
        <v>288</v>
      </c>
      <c r="AB711" s="4">
        <v>4</v>
      </c>
      <c r="AC711" s="4">
        <v>4</v>
      </c>
      <c r="AD711" s="4">
        <v>18</v>
      </c>
      <c r="AE711" s="4">
        <v>18</v>
      </c>
      <c r="AF711" s="4">
        <v>6</v>
      </c>
      <c r="AG711" s="4">
        <v>6</v>
      </c>
      <c r="AH711" s="4">
        <v>3</v>
      </c>
      <c r="AI711" s="4">
        <v>3</v>
      </c>
      <c r="AJ711" s="4">
        <v>10</v>
      </c>
      <c r="AK711" s="4">
        <v>10</v>
      </c>
      <c r="AL711" s="4">
        <v>3</v>
      </c>
      <c r="AM711" s="4">
        <v>3</v>
      </c>
      <c r="AN711" s="4">
        <v>0</v>
      </c>
      <c r="AO711" s="4">
        <v>0</v>
      </c>
      <c r="AP711" s="3" t="s">
        <v>58</v>
      </c>
      <c r="AQ711" s="3" t="s">
        <v>58</v>
      </c>
      <c r="AS711" s="6" t="str">
        <f>HYPERLINK("https://creighton-primo.hosted.exlibrisgroup.com/primo-explore/search?tab=default_tab&amp;search_scope=EVERYTHING&amp;vid=01CRU&amp;lang=en_US&amp;offset=0&amp;query=any,contains,991000589839702656","Catalog Record")</f>
        <v>Catalog Record</v>
      </c>
      <c r="AT711" s="6" t="str">
        <f>HYPERLINK("http://www.worldcat.org/oclc/96527","WorldCat Record")</f>
        <v>WorldCat Record</v>
      </c>
      <c r="AU711" s="3" t="s">
        <v>9080</v>
      </c>
      <c r="AV711" s="3" t="s">
        <v>9081</v>
      </c>
      <c r="AW711" s="3" t="s">
        <v>9082</v>
      </c>
      <c r="AX711" s="3" t="s">
        <v>9082</v>
      </c>
      <c r="AY711" s="3" t="s">
        <v>9083</v>
      </c>
      <c r="AZ711" s="3" t="s">
        <v>75</v>
      </c>
      <c r="BB711" s="3" t="s">
        <v>9084</v>
      </c>
      <c r="BC711" s="3" t="s">
        <v>9085</v>
      </c>
      <c r="BD711" s="3" t="s">
        <v>9086</v>
      </c>
    </row>
    <row r="712" spans="1:56" ht="39" customHeight="1" x14ac:dyDescent="0.25">
      <c r="A712" s="7" t="s">
        <v>58</v>
      </c>
      <c r="B712" s="2" t="s">
        <v>9087</v>
      </c>
      <c r="C712" s="2" t="s">
        <v>9088</v>
      </c>
      <c r="D712" s="2" t="s">
        <v>9089</v>
      </c>
      <c r="F712" s="3" t="s">
        <v>58</v>
      </c>
      <c r="G712" s="3" t="s">
        <v>59</v>
      </c>
      <c r="H712" s="3" t="s">
        <v>58</v>
      </c>
      <c r="I712" s="3" t="s">
        <v>58</v>
      </c>
      <c r="J712" s="3" t="s">
        <v>60</v>
      </c>
      <c r="K712" s="2" t="s">
        <v>9090</v>
      </c>
      <c r="L712" s="2" t="s">
        <v>9091</v>
      </c>
      <c r="M712" s="3" t="s">
        <v>112</v>
      </c>
      <c r="O712" s="3" t="s">
        <v>65</v>
      </c>
      <c r="P712" s="3" t="s">
        <v>186</v>
      </c>
      <c r="R712" s="3" t="s">
        <v>68</v>
      </c>
      <c r="S712" s="4">
        <v>4</v>
      </c>
      <c r="T712" s="4">
        <v>4</v>
      </c>
      <c r="U712" s="5" t="s">
        <v>9092</v>
      </c>
      <c r="V712" s="5" t="s">
        <v>9092</v>
      </c>
      <c r="W712" s="5" t="s">
        <v>9093</v>
      </c>
      <c r="X712" s="5" t="s">
        <v>9093</v>
      </c>
      <c r="Y712" s="4">
        <v>169</v>
      </c>
      <c r="Z712" s="4">
        <v>149</v>
      </c>
      <c r="AA712" s="4">
        <v>154</v>
      </c>
      <c r="AB712" s="4">
        <v>3</v>
      </c>
      <c r="AC712" s="4">
        <v>3</v>
      </c>
      <c r="AD712" s="4">
        <v>12</v>
      </c>
      <c r="AE712" s="4">
        <v>12</v>
      </c>
      <c r="AF712" s="4">
        <v>4</v>
      </c>
      <c r="AG712" s="4">
        <v>4</v>
      </c>
      <c r="AH712" s="4">
        <v>1</v>
      </c>
      <c r="AI712" s="4">
        <v>1</v>
      </c>
      <c r="AJ712" s="4">
        <v>9</v>
      </c>
      <c r="AK712" s="4">
        <v>9</v>
      </c>
      <c r="AL712" s="4">
        <v>1</v>
      </c>
      <c r="AM712" s="4">
        <v>1</v>
      </c>
      <c r="AN712" s="4">
        <v>0</v>
      </c>
      <c r="AO712" s="4">
        <v>0</v>
      </c>
      <c r="AP712" s="3" t="s">
        <v>58</v>
      </c>
      <c r="AQ712" s="3" t="s">
        <v>58</v>
      </c>
      <c r="AS712" s="6" t="str">
        <f>HYPERLINK("https://creighton-primo.hosted.exlibrisgroup.com/primo-explore/search?tab=default_tab&amp;search_scope=EVERYTHING&amp;vid=01CRU&amp;lang=en_US&amp;offset=0&amp;query=any,contains,991001951819702656","Catalog Record")</f>
        <v>Catalog Record</v>
      </c>
      <c r="AT712" s="6" t="str">
        <f>HYPERLINK("http://www.worldcat.org/oclc/24670785","WorldCat Record")</f>
        <v>WorldCat Record</v>
      </c>
      <c r="AU712" s="3" t="s">
        <v>9094</v>
      </c>
      <c r="AV712" s="3" t="s">
        <v>9095</v>
      </c>
      <c r="AW712" s="3" t="s">
        <v>9096</v>
      </c>
      <c r="AX712" s="3" t="s">
        <v>9096</v>
      </c>
      <c r="AY712" s="3" t="s">
        <v>9097</v>
      </c>
      <c r="AZ712" s="3" t="s">
        <v>75</v>
      </c>
      <c r="BB712" s="3" t="s">
        <v>9098</v>
      </c>
      <c r="BC712" s="3" t="s">
        <v>9099</v>
      </c>
      <c r="BD712" s="3" t="s">
        <v>9100</v>
      </c>
    </row>
    <row r="713" spans="1:56" ht="39" customHeight="1" x14ac:dyDescent="0.25">
      <c r="A713" s="7" t="s">
        <v>58</v>
      </c>
      <c r="B713" s="2" t="s">
        <v>9101</v>
      </c>
      <c r="C713" s="2" t="s">
        <v>9102</v>
      </c>
      <c r="D713" s="2" t="s">
        <v>9103</v>
      </c>
      <c r="F713" s="3" t="s">
        <v>58</v>
      </c>
      <c r="G713" s="3" t="s">
        <v>59</v>
      </c>
      <c r="H713" s="3" t="s">
        <v>58</v>
      </c>
      <c r="I713" s="3" t="s">
        <v>58</v>
      </c>
      <c r="J713" s="3" t="s">
        <v>60</v>
      </c>
      <c r="K713" s="2" t="s">
        <v>604</v>
      </c>
      <c r="L713" s="2" t="s">
        <v>9104</v>
      </c>
      <c r="M713" s="3" t="s">
        <v>289</v>
      </c>
      <c r="O713" s="3" t="s">
        <v>65</v>
      </c>
      <c r="P713" s="3" t="s">
        <v>186</v>
      </c>
      <c r="R713" s="3" t="s">
        <v>68</v>
      </c>
      <c r="S713" s="4">
        <v>5</v>
      </c>
      <c r="T713" s="4">
        <v>5</v>
      </c>
      <c r="U713" s="5" t="s">
        <v>8046</v>
      </c>
      <c r="V713" s="5" t="s">
        <v>8046</v>
      </c>
      <c r="W713" s="5" t="s">
        <v>8638</v>
      </c>
      <c r="X713" s="5" t="s">
        <v>8638</v>
      </c>
      <c r="Y713" s="4">
        <v>447</v>
      </c>
      <c r="Z713" s="4">
        <v>387</v>
      </c>
      <c r="AA713" s="4">
        <v>393</v>
      </c>
      <c r="AB713" s="4">
        <v>6</v>
      </c>
      <c r="AC713" s="4">
        <v>6</v>
      </c>
      <c r="AD713" s="4">
        <v>33</v>
      </c>
      <c r="AE713" s="4">
        <v>33</v>
      </c>
      <c r="AF713" s="4">
        <v>14</v>
      </c>
      <c r="AG713" s="4">
        <v>14</v>
      </c>
      <c r="AH713" s="4">
        <v>6</v>
      </c>
      <c r="AI713" s="4">
        <v>6</v>
      </c>
      <c r="AJ713" s="4">
        <v>18</v>
      </c>
      <c r="AK713" s="4">
        <v>18</v>
      </c>
      <c r="AL713" s="4">
        <v>4</v>
      </c>
      <c r="AM713" s="4">
        <v>4</v>
      </c>
      <c r="AN713" s="4">
        <v>0</v>
      </c>
      <c r="AO713" s="4">
        <v>0</v>
      </c>
      <c r="AP713" s="3" t="s">
        <v>58</v>
      </c>
      <c r="AQ713" s="3" t="s">
        <v>132</v>
      </c>
      <c r="AR713" s="6" t="str">
        <f>HYPERLINK("http://catalog.hathitrust.org/Record/006019436","HathiTrust Record")</f>
        <v>HathiTrust Record</v>
      </c>
      <c r="AS713" s="6" t="str">
        <f>HYPERLINK("https://creighton-primo.hosted.exlibrisgroup.com/primo-explore/search?tab=default_tab&amp;search_scope=EVERYTHING&amp;vid=01CRU&amp;lang=en_US&amp;offset=0&amp;query=any,contains,991005119459702656","Catalog Record")</f>
        <v>Catalog Record</v>
      </c>
      <c r="AT713" s="6" t="str">
        <f>HYPERLINK("http://www.worldcat.org/oclc/7486360","WorldCat Record")</f>
        <v>WorldCat Record</v>
      </c>
      <c r="AU713" s="3" t="s">
        <v>9105</v>
      </c>
      <c r="AV713" s="3" t="s">
        <v>9106</v>
      </c>
      <c r="AW713" s="3" t="s">
        <v>9107</v>
      </c>
      <c r="AX713" s="3" t="s">
        <v>9107</v>
      </c>
      <c r="AY713" s="3" t="s">
        <v>9108</v>
      </c>
      <c r="AZ713" s="3" t="s">
        <v>75</v>
      </c>
      <c r="BB713" s="3" t="s">
        <v>9109</v>
      </c>
      <c r="BC713" s="3" t="s">
        <v>9110</v>
      </c>
      <c r="BD713" s="3" t="s">
        <v>9111</v>
      </c>
    </row>
    <row r="714" spans="1:56" ht="39" customHeight="1" x14ac:dyDescent="0.25">
      <c r="A714" s="7" t="s">
        <v>58</v>
      </c>
      <c r="B714" s="2" t="s">
        <v>9112</v>
      </c>
      <c r="C714" s="2" t="s">
        <v>9113</v>
      </c>
      <c r="D714" s="2" t="s">
        <v>9114</v>
      </c>
      <c r="F714" s="3" t="s">
        <v>58</v>
      </c>
      <c r="G714" s="3" t="s">
        <v>59</v>
      </c>
      <c r="H714" s="3" t="s">
        <v>58</v>
      </c>
      <c r="I714" s="3" t="s">
        <v>58</v>
      </c>
      <c r="J714" s="3" t="s">
        <v>60</v>
      </c>
      <c r="K714" s="2" t="s">
        <v>9115</v>
      </c>
      <c r="L714" s="2" t="s">
        <v>9116</v>
      </c>
      <c r="M714" s="3" t="s">
        <v>83</v>
      </c>
      <c r="O714" s="3" t="s">
        <v>65</v>
      </c>
      <c r="P714" s="3" t="s">
        <v>186</v>
      </c>
      <c r="R714" s="3" t="s">
        <v>68</v>
      </c>
      <c r="S714" s="4">
        <v>1</v>
      </c>
      <c r="T714" s="4">
        <v>1</v>
      </c>
      <c r="U714" s="5" t="s">
        <v>9117</v>
      </c>
      <c r="V714" s="5" t="s">
        <v>9117</v>
      </c>
      <c r="W714" s="5" t="s">
        <v>9118</v>
      </c>
      <c r="X714" s="5" t="s">
        <v>9118</v>
      </c>
      <c r="Y714" s="4">
        <v>290</v>
      </c>
      <c r="Z714" s="4">
        <v>269</v>
      </c>
      <c r="AA714" s="4">
        <v>270</v>
      </c>
      <c r="AB714" s="4">
        <v>3</v>
      </c>
      <c r="AC714" s="4">
        <v>3</v>
      </c>
      <c r="AD714" s="4">
        <v>25</v>
      </c>
      <c r="AE714" s="4">
        <v>25</v>
      </c>
      <c r="AF714" s="4">
        <v>9</v>
      </c>
      <c r="AG714" s="4">
        <v>9</v>
      </c>
      <c r="AH714" s="4">
        <v>6</v>
      </c>
      <c r="AI714" s="4">
        <v>6</v>
      </c>
      <c r="AJ714" s="4">
        <v>17</v>
      </c>
      <c r="AK714" s="4">
        <v>17</v>
      </c>
      <c r="AL714" s="4">
        <v>2</v>
      </c>
      <c r="AM714" s="4">
        <v>2</v>
      </c>
      <c r="AN714" s="4">
        <v>0</v>
      </c>
      <c r="AO714" s="4">
        <v>0</v>
      </c>
      <c r="AP714" s="3" t="s">
        <v>58</v>
      </c>
      <c r="AQ714" s="3" t="s">
        <v>58</v>
      </c>
      <c r="AS714" s="6" t="str">
        <f>HYPERLINK("https://creighton-primo.hosted.exlibrisgroup.com/primo-explore/search?tab=default_tab&amp;search_scope=EVERYTHING&amp;vid=01CRU&amp;lang=en_US&amp;offset=0&amp;query=any,contains,991003063769702656","Catalog Record")</f>
        <v>Catalog Record</v>
      </c>
      <c r="AT714" s="6" t="str">
        <f>HYPERLINK("http://www.worldcat.org/oclc/620398","WorldCat Record")</f>
        <v>WorldCat Record</v>
      </c>
      <c r="AU714" s="3" t="s">
        <v>9119</v>
      </c>
      <c r="AV714" s="3" t="s">
        <v>9120</v>
      </c>
      <c r="AW714" s="3" t="s">
        <v>9121</v>
      </c>
      <c r="AX714" s="3" t="s">
        <v>9121</v>
      </c>
      <c r="AY714" s="3" t="s">
        <v>9122</v>
      </c>
      <c r="AZ714" s="3" t="s">
        <v>75</v>
      </c>
      <c r="BC714" s="3" t="s">
        <v>9123</v>
      </c>
      <c r="BD714" s="3" t="s">
        <v>9124</v>
      </c>
    </row>
    <row r="715" spans="1:56" ht="39" customHeight="1" x14ac:dyDescent="0.25">
      <c r="A715" s="7" t="s">
        <v>58</v>
      </c>
      <c r="B715" s="2" t="s">
        <v>9125</v>
      </c>
      <c r="C715" s="2" t="s">
        <v>9126</v>
      </c>
      <c r="D715" s="2" t="s">
        <v>9127</v>
      </c>
      <c r="F715" s="3" t="s">
        <v>58</v>
      </c>
      <c r="G715" s="3" t="s">
        <v>59</v>
      </c>
      <c r="H715" s="3" t="s">
        <v>58</v>
      </c>
      <c r="I715" s="3" t="s">
        <v>58</v>
      </c>
      <c r="J715" s="3" t="s">
        <v>60</v>
      </c>
      <c r="L715" s="2" t="s">
        <v>9128</v>
      </c>
      <c r="M715" s="3" t="s">
        <v>112</v>
      </c>
      <c r="O715" s="3" t="s">
        <v>65</v>
      </c>
      <c r="P715" s="3" t="s">
        <v>113</v>
      </c>
      <c r="R715" s="3" t="s">
        <v>68</v>
      </c>
      <c r="S715" s="4">
        <v>12</v>
      </c>
      <c r="T715" s="4">
        <v>12</v>
      </c>
      <c r="U715" s="5" t="s">
        <v>9129</v>
      </c>
      <c r="V715" s="5" t="s">
        <v>9129</v>
      </c>
      <c r="W715" s="5" t="s">
        <v>9130</v>
      </c>
      <c r="X715" s="5" t="s">
        <v>9130</v>
      </c>
      <c r="Y715" s="4">
        <v>232</v>
      </c>
      <c r="Z715" s="4">
        <v>190</v>
      </c>
      <c r="AA715" s="4">
        <v>196</v>
      </c>
      <c r="AB715" s="4">
        <v>2</v>
      </c>
      <c r="AC715" s="4">
        <v>2</v>
      </c>
      <c r="AD715" s="4">
        <v>18</v>
      </c>
      <c r="AE715" s="4">
        <v>18</v>
      </c>
      <c r="AF715" s="4">
        <v>6</v>
      </c>
      <c r="AG715" s="4">
        <v>6</v>
      </c>
      <c r="AH715" s="4">
        <v>5</v>
      </c>
      <c r="AI715" s="4">
        <v>5</v>
      </c>
      <c r="AJ715" s="4">
        <v>12</v>
      </c>
      <c r="AK715" s="4">
        <v>12</v>
      </c>
      <c r="AL715" s="4">
        <v>1</v>
      </c>
      <c r="AM715" s="4">
        <v>1</v>
      </c>
      <c r="AN715" s="4">
        <v>0</v>
      </c>
      <c r="AO715" s="4">
        <v>0</v>
      </c>
      <c r="AP715" s="3" t="s">
        <v>58</v>
      </c>
      <c r="AQ715" s="3" t="s">
        <v>132</v>
      </c>
      <c r="AR715" s="6" t="str">
        <f>HYPERLINK("http://catalog.hathitrust.org/Record/002613425","HathiTrust Record")</f>
        <v>HathiTrust Record</v>
      </c>
      <c r="AS715" s="6" t="str">
        <f>HYPERLINK("https://creighton-primo.hosted.exlibrisgroup.com/primo-explore/search?tab=default_tab&amp;search_scope=EVERYTHING&amp;vid=01CRU&amp;lang=en_US&amp;offset=0&amp;query=any,contains,991001784989702656","Catalog Record")</f>
        <v>Catalog Record</v>
      </c>
      <c r="AT715" s="6" t="str">
        <f>HYPERLINK("http://www.worldcat.org/oclc/22494067","WorldCat Record")</f>
        <v>WorldCat Record</v>
      </c>
      <c r="AU715" s="3" t="s">
        <v>9131</v>
      </c>
      <c r="AV715" s="3" t="s">
        <v>9132</v>
      </c>
      <c r="AW715" s="3" t="s">
        <v>9133</v>
      </c>
      <c r="AX715" s="3" t="s">
        <v>9133</v>
      </c>
      <c r="AY715" s="3" t="s">
        <v>9134</v>
      </c>
      <c r="AZ715" s="3" t="s">
        <v>75</v>
      </c>
      <c r="BB715" s="3" t="s">
        <v>9135</v>
      </c>
      <c r="BC715" s="3" t="s">
        <v>9136</v>
      </c>
      <c r="BD715" s="3" t="s">
        <v>9137</v>
      </c>
    </row>
    <row r="716" spans="1:56" ht="39" customHeight="1" x14ac:dyDescent="0.25">
      <c r="A716" s="7" t="s">
        <v>58</v>
      </c>
      <c r="B716" s="2" t="s">
        <v>9138</v>
      </c>
      <c r="C716" s="2" t="s">
        <v>9139</v>
      </c>
      <c r="D716" s="2" t="s">
        <v>9140</v>
      </c>
      <c r="F716" s="3" t="s">
        <v>58</v>
      </c>
      <c r="G716" s="3" t="s">
        <v>59</v>
      </c>
      <c r="H716" s="3" t="s">
        <v>58</v>
      </c>
      <c r="I716" s="3" t="s">
        <v>58</v>
      </c>
      <c r="J716" s="3" t="s">
        <v>60</v>
      </c>
      <c r="K716" s="2" t="s">
        <v>9141</v>
      </c>
      <c r="L716" s="2" t="s">
        <v>9142</v>
      </c>
      <c r="M716" s="3" t="s">
        <v>98</v>
      </c>
      <c r="O716" s="3" t="s">
        <v>65</v>
      </c>
      <c r="P716" s="3" t="s">
        <v>1358</v>
      </c>
      <c r="R716" s="3" t="s">
        <v>68</v>
      </c>
      <c r="S716" s="4">
        <v>1</v>
      </c>
      <c r="T716" s="4">
        <v>1</v>
      </c>
      <c r="U716" s="5" t="s">
        <v>9143</v>
      </c>
      <c r="V716" s="5" t="s">
        <v>9143</v>
      </c>
      <c r="W716" s="5" t="s">
        <v>9118</v>
      </c>
      <c r="X716" s="5" t="s">
        <v>9118</v>
      </c>
      <c r="Y716" s="4">
        <v>152</v>
      </c>
      <c r="Z716" s="4">
        <v>120</v>
      </c>
      <c r="AA716" s="4">
        <v>125</v>
      </c>
      <c r="AB716" s="4">
        <v>3</v>
      </c>
      <c r="AC716" s="4">
        <v>3</v>
      </c>
      <c r="AD716" s="4">
        <v>20</v>
      </c>
      <c r="AE716" s="4">
        <v>20</v>
      </c>
      <c r="AF716" s="4">
        <v>5</v>
      </c>
      <c r="AG716" s="4">
        <v>5</v>
      </c>
      <c r="AH716" s="4">
        <v>5</v>
      </c>
      <c r="AI716" s="4">
        <v>5</v>
      </c>
      <c r="AJ716" s="4">
        <v>17</v>
      </c>
      <c r="AK716" s="4">
        <v>17</v>
      </c>
      <c r="AL716" s="4">
        <v>1</v>
      </c>
      <c r="AM716" s="4">
        <v>1</v>
      </c>
      <c r="AN716" s="4">
        <v>0</v>
      </c>
      <c r="AO716" s="4">
        <v>0</v>
      </c>
      <c r="AP716" s="3" t="s">
        <v>58</v>
      </c>
      <c r="AQ716" s="3" t="s">
        <v>58</v>
      </c>
      <c r="AS716" s="6" t="str">
        <f>HYPERLINK("https://creighton-primo.hosted.exlibrisgroup.com/primo-explore/search?tab=default_tab&amp;search_scope=EVERYTHING&amp;vid=01CRU&amp;lang=en_US&amp;offset=0&amp;query=any,contains,991003979409702656","Catalog Record")</f>
        <v>Catalog Record</v>
      </c>
      <c r="AT716" s="6" t="str">
        <f>HYPERLINK("http://www.worldcat.org/oclc/2016963","WorldCat Record")</f>
        <v>WorldCat Record</v>
      </c>
      <c r="AU716" s="3" t="s">
        <v>9144</v>
      </c>
      <c r="AV716" s="3" t="s">
        <v>9145</v>
      </c>
      <c r="AW716" s="3" t="s">
        <v>9146</v>
      </c>
      <c r="AX716" s="3" t="s">
        <v>9146</v>
      </c>
      <c r="AY716" s="3" t="s">
        <v>9147</v>
      </c>
      <c r="AZ716" s="3" t="s">
        <v>75</v>
      </c>
      <c r="BC716" s="3" t="s">
        <v>9148</v>
      </c>
      <c r="BD716" s="3" t="s">
        <v>9149</v>
      </c>
    </row>
    <row r="717" spans="1:56" ht="39" customHeight="1" x14ac:dyDescent="0.25">
      <c r="A717" s="7" t="s">
        <v>58</v>
      </c>
      <c r="B717" s="2" t="s">
        <v>9150</v>
      </c>
      <c r="C717" s="2" t="s">
        <v>9151</v>
      </c>
      <c r="D717" s="2" t="s">
        <v>9152</v>
      </c>
      <c r="F717" s="3" t="s">
        <v>58</v>
      </c>
      <c r="G717" s="3" t="s">
        <v>59</v>
      </c>
      <c r="H717" s="3" t="s">
        <v>58</v>
      </c>
      <c r="I717" s="3" t="s">
        <v>58</v>
      </c>
      <c r="J717" s="3" t="s">
        <v>60</v>
      </c>
      <c r="K717" s="2" t="s">
        <v>9153</v>
      </c>
      <c r="L717" s="2" t="s">
        <v>9154</v>
      </c>
      <c r="M717" s="3" t="s">
        <v>157</v>
      </c>
      <c r="O717" s="3" t="s">
        <v>65</v>
      </c>
      <c r="P717" s="3" t="s">
        <v>571</v>
      </c>
      <c r="R717" s="3" t="s">
        <v>68</v>
      </c>
      <c r="S717" s="4">
        <v>2</v>
      </c>
      <c r="T717" s="4">
        <v>2</v>
      </c>
      <c r="U717" s="5" t="s">
        <v>9155</v>
      </c>
      <c r="V717" s="5" t="s">
        <v>9155</v>
      </c>
      <c r="W717" s="5" t="s">
        <v>9118</v>
      </c>
      <c r="X717" s="5" t="s">
        <v>9118</v>
      </c>
      <c r="Y717" s="4">
        <v>146</v>
      </c>
      <c r="Z717" s="4">
        <v>127</v>
      </c>
      <c r="AA717" s="4">
        <v>132</v>
      </c>
      <c r="AB717" s="4">
        <v>2</v>
      </c>
      <c r="AC717" s="4">
        <v>2</v>
      </c>
      <c r="AD717" s="4">
        <v>10</v>
      </c>
      <c r="AE717" s="4">
        <v>10</v>
      </c>
      <c r="AF717" s="4">
        <v>1</v>
      </c>
      <c r="AG717" s="4">
        <v>1</v>
      </c>
      <c r="AH717" s="4">
        <v>2</v>
      </c>
      <c r="AI717" s="4">
        <v>2</v>
      </c>
      <c r="AJ717" s="4">
        <v>8</v>
      </c>
      <c r="AK717" s="4">
        <v>8</v>
      </c>
      <c r="AL717" s="4">
        <v>0</v>
      </c>
      <c r="AM717" s="4">
        <v>0</v>
      </c>
      <c r="AN717" s="4">
        <v>0</v>
      </c>
      <c r="AO717" s="4">
        <v>0</v>
      </c>
      <c r="AP717" s="3" t="s">
        <v>58</v>
      </c>
      <c r="AQ717" s="3" t="s">
        <v>58</v>
      </c>
      <c r="AS717" s="6" t="str">
        <f>HYPERLINK("https://creighton-primo.hosted.exlibrisgroup.com/primo-explore/search?tab=default_tab&amp;search_scope=EVERYTHING&amp;vid=01CRU&amp;lang=en_US&amp;offset=0&amp;query=any,contains,991005244179702656","Catalog Record")</f>
        <v>Catalog Record</v>
      </c>
      <c r="AT717" s="6" t="str">
        <f>HYPERLINK("http://www.worldcat.org/oclc/8449278","WorldCat Record")</f>
        <v>WorldCat Record</v>
      </c>
      <c r="AU717" s="3" t="s">
        <v>9156</v>
      </c>
      <c r="AV717" s="3" t="s">
        <v>9157</v>
      </c>
      <c r="AW717" s="3" t="s">
        <v>9158</v>
      </c>
      <c r="AX717" s="3" t="s">
        <v>9158</v>
      </c>
      <c r="AY717" s="3" t="s">
        <v>9159</v>
      </c>
      <c r="AZ717" s="3" t="s">
        <v>75</v>
      </c>
      <c r="BB717" s="3" t="s">
        <v>9160</v>
      </c>
      <c r="BC717" s="3" t="s">
        <v>9161</v>
      </c>
      <c r="BD717" s="3" t="s">
        <v>9162</v>
      </c>
    </row>
    <row r="718" spans="1:56" ht="39" customHeight="1" x14ac:dyDescent="0.25">
      <c r="A718" s="7" t="s">
        <v>58</v>
      </c>
      <c r="B718" s="2" t="s">
        <v>9163</v>
      </c>
      <c r="C718" s="2" t="s">
        <v>9164</v>
      </c>
      <c r="D718" s="2" t="s">
        <v>9165</v>
      </c>
      <c r="F718" s="3" t="s">
        <v>58</v>
      </c>
      <c r="G718" s="3" t="s">
        <v>59</v>
      </c>
      <c r="H718" s="3" t="s">
        <v>58</v>
      </c>
      <c r="I718" s="3" t="s">
        <v>58</v>
      </c>
      <c r="J718" s="3" t="s">
        <v>60</v>
      </c>
      <c r="K718" s="2" t="s">
        <v>9166</v>
      </c>
      <c r="L718" s="2" t="s">
        <v>9167</v>
      </c>
      <c r="M718" s="3" t="s">
        <v>172</v>
      </c>
      <c r="N718" s="2" t="s">
        <v>9168</v>
      </c>
      <c r="O718" s="3" t="s">
        <v>65</v>
      </c>
      <c r="P718" s="3" t="s">
        <v>186</v>
      </c>
      <c r="Q718" s="2" t="s">
        <v>9169</v>
      </c>
      <c r="R718" s="3" t="s">
        <v>68</v>
      </c>
      <c r="S718" s="4">
        <v>7</v>
      </c>
      <c r="T718" s="4">
        <v>7</v>
      </c>
      <c r="U718" s="5" t="s">
        <v>8046</v>
      </c>
      <c r="V718" s="5" t="s">
        <v>8046</v>
      </c>
      <c r="W718" s="5" t="s">
        <v>9170</v>
      </c>
      <c r="X718" s="5" t="s">
        <v>9170</v>
      </c>
      <c r="Y718" s="4">
        <v>724</v>
      </c>
      <c r="Z718" s="4">
        <v>666</v>
      </c>
      <c r="AA718" s="4">
        <v>930</v>
      </c>
      <c r="AB718" s="4">
        <v>5</v>
      </c>
      <c r="AC718" s="4">
        <v>6</v>
      </c>
      <c r="AD718" s="4">
        <v>23</v>
      </c>
      <c r="AE718" s="4">
        <v>35</v>
      </c>
      <c r="AF718" s="4">
        <v>10</v>
      </c>
      <c r="AG718" s="4">
        <v>14</v>
      </c>
      <c r="AH718" s="4">
        <v>6</v>
      </c>
      <c r="AI718" s="4">
        <v>8</v>
      </c>
      <c r="AJ718" s="4">
        <v>10</v>
      </c>
      <c r="AK718" s="4">
        <v>17</v>
      </c>
      <c r="AL718" s="4">
        <v>3</v>
      </c>
      <c r="AM718" s="4">
        <v>4</v>
      </c>
      <c r="AN718" s="4">
        <v>0</v>
      </c>
      <c r="AO718" s="4">
        <v>0</v>
      </c>
      <c r="AP718" s="3" t="s">
        <v>58</v>
      </c>
      <c r="AQ718" s="3" t="s">
        <v>132</v>
      </c>
      <c r="AR718" s="6" t="str">
        <f>HYPERLINK("http://catalog.hathitrust.org/Record/001414893","HathiTrust Record")</f>
        <v>HathiTrust Record</v>
      </c>
      <c r="AS718" s="6" t="str">
        <f>HYPERLINK("https://creighton-primo.hosted.exlibrisgroup.com/primo-explore/search?tab=default_tab&amp;search_scope=EVERYTHING&amp;vid=01CRU&amp;lang=en_US&amp;offset=0&amp;query=any,contains,991000683029702656","Catalog Record")</f>
        <v>Catalog Record</v>
      </c>
      <c r="AT718" s="6" t="str">
        <f>HYPERLINK("http://www.worldcat.org/oclc/122439","WorldCat Record")</f>
        <v>WorldCat Record</v>
      </c>
      <c r="AU718" s="3" t="s">
        <v>9171</v>
      </c>
      <c r="AV718" s="3" t="s">
        <v>9172</v>
      </c>
      <c r="AW718" s="3" t="s">
        <v>9173</v>
      </c>
      <c r="AX718" s="3" t="s">
        <v>9173</v>
      </c>
      <c r="AY718" s="3" t="s">
        <v>9174</v>
      </c>
      <c r="AZ718" s="3" t="s">
        <v>75</v>
      </c>
      <c r="BC718" s="3" t="s">
        <v>9175</v>
      </c>
      <c r="BD718" s="3" t="s">
        <v>9176</v>
      </c>
    </row>
    <row r="719" spans="1:56" ht="39" customHeight="1" x14ac:dyDescent="0.25">
      <c r="A719" s="7" t="s">
        <v>58</v>
      </c>
      <c r="B719" s="2" t="s">
        <v>9177</v>
      </c>
      <c r="C719" s="2" t="s">
        <v>9178</v>
      </c>
      <c r="D719" s="2" t="s">
        <v>9179</v>
      </c>
      <c r="F719" s="3" t="s">
        <v>58</v>
      </c>
      <c r="G719" s="3" t="s">
        <v>59</v>
      </c>
      <c r="H719" s="3" t="s">
        <v>58</v>
      </c>
      <c r="I719" s="3" t="s">
        <v>58</v>
      </c>
      <c r="J719" s="3" t="s">
        <v>60</v>
      </c>
      <c r="K719" s="2" t="s">
        <v>9180</v>
      </c>
      <c r="L719" s="2" t="s">
        <v>9181</v>
      </c>
      <c r="M719" s="3" t="s">
        <v>289</v>
      </c>
      <c r="O719" s="3" t="s">
        <v>65</v>
      </c>
      <c r="P719" s="3" t="s">
        <v>695</v>
      </c>
      <c r="R719" s="3" t="s">
        <v>68</v>
      </c>
      <c r="S719" s="4">
        <v>1</v>
      </c>
      <c r="T719" s="4">
        <v>1</v>
      </c>
      <c r="U719" s="5" t="s">
        <v>3830</v>
      </c>
      <c r="V719" s="5" t="s">
        <v>3830</v>
      </c>
      <c r="W719" s="5" t="s">
        <v>3830</v>
      </c>
      <c r="X719" s="5" t="s">
        <v>3830</v>
      </c>
      <c r="Y719" s="4">
        <v>76</v>
      </c>
      <c r="Z719" s="4">
        <v>64</v>
      </c>
      <c r="AA719" s="4">
        <v>64</v>
      </c>
      <c r="AB719" s="4">
        <v>2</v>
      </c>
      <c r="AC719" s="4">
        <v>2</v>
      </c>
      <c r="AD719" s="4">
        <v>5</v>
      </c>
      <c r="AE719" s="4">
        <v>5</v>
      </c>
      <c r="AF719" s="4">
        <v>1</v>
      </c>
      <c r="AG719" s="4">
        <v>1</v>
      </c>
      <c r="AH719" s="4">
        <v>1</v>
      </c>
      <c r="AI719" s="4">
        <v>1</v>
      </c>
      <c r="AJ719" s="4">
        <v>4</v>
      </c>
      <c r="AK719" s="4">
        <v>4</v>
      </c>
      <c r="AL719" s="4">
        <v>0</v>
      </c>
      <c r="AM719" s="4">
        <v>0</v>
      </c>
      <c r="AN719" s="4">
        <v>0</v>
      </c>
      <c r="AO719" s="4">
        <v>0</v>
      </c>
      <c r="AP719" s="3" t="s">
        <v>58</v>
      </c>
      <c r="AQ719" s="3" t="s">
        <v>58</v>
      </c>
      <c r="AS719" s="6" t="str">
        <f>HYPERLINK("https://creighton-primo.hosted.exlibrisgroup.com/primo-explore/search?tab=default_tab&amp;search_scope=EVERYTHING&amp;vid=01CRU&amp;lang=en_US&amp;offset=0&amp;query=any,contains,991000017349702656","Catalog Record")</f>
        <v>Catalog Record</v>
      </c>
      <c r="AT719" s="6" t="str">
        <f>HYPERLINK("http://www.worldcat.org/oclc/11399629","WorldCat Record")</f>
        <v>WorldCat Record</v>
      </c>
      <c r="AU719" s="3" t="s">
        <v>9182</v>
      </c>
      <c r="AV719" s="3" t="s">
        <v>9183</v>
      </c>
      <c r="AW719" s="3" t="s">
        <v>9184</v>
      </c>
      <c r="AX719" s="3" t="s">
        <v>9184</v>
      </c>
      <c r="AY719" s="3" t="s">
        <v>9185</v>
      </c>
      <c r="AZ719" s="3" t="s">
        <v>75</v>
      </c>
      <c r="BB719" s="3" t="s">
        <v>9186</v>
      </c>
      <c r="BC719" s="3" t="s">
        <v>9187</v>
      </c>
      <c r="BD719" s="3" t="s">
        <v>9188</v>
      </c>
    </row>
    <row r="720" spans="1:56" ht="39" customHeight="1" x14ac:dyDescent="0.25">
      <c r="A720" s="7" t="s">
        <v>58</v>
      </c>
      <c r="B720" s="2" t="s">
        <v>9189</v>
      </c>
      <c r="C720" s="2" t="s">
        <v>9190</v>
      </c>
      <c r="D720" s="2" t="s">
        <v>9191</v>
      </c>
      <c r="F720" s="3" t="s">
        <v>58</v>
      </c>
      <c r="G720" s="3" t="s">
        <v>59</v>
      </c>
      <c r="H720" s="3" t="s">
        <v>58</v>
      </c>
      <c r="I720" s="3" t="s">
        <v>58</v>
      </c>
      <c r="J720" s="3" t="s">
        <v>60</v>
      </c>
      <c r="K720" s="2" t="s">
        <v>3200</v>
      </c>
      <c r="L720" s="2" t="s">
        <v>9192</v>
      </c>
      <c r="M720" s="3" t="s">
        <v>3163</v>
      </c>
      <c r="O720" s="3" t="s">
        <v>65</v>
      </c>
      <c r="P720" s="3" t="s">
        <v>186</v>
      </c>
      <c r="R720" s="3" t="s">
        <v>68</v>
      </c>
      <c r="S720" s="4">
        <v>2</v>
      </c>
      <c r="T720" s="4">
        <v>2</v>
      </c>
      <c r="U720" s="5" t="s">
        <v>9193</v>
      </c>
      <c r="V720" s="5" t="s">
        <v>9193</v>
      </c>
      <c r="W720" s="5" t="s">
        <v>9118</v>
      </c>
      <c r="X720" s="5" t="s">
        <v>9118</v>
      </c>
      <c r="Y720" s="4">
        <v>149</v>
      </c>
      <c r="Z720" s="4">
        <v>134</v>
      </c>
      <c r="AA720" s="4">
        <v>156</v>
      </c>
      <c r="AB720" s="4">
        <v>2</v>
      </c>
      <c r="AC720" s="4">
        <v>3</v>
      </c>
      <c r="AD720" s="4">
        <v>19</v>
      </c>
      <c r="AE720" s="4">
        <v>19</v>
      </c>
      <c r="AF720" s="4">
        <v>3</v>
      </c>
      <c r="AG720" s="4">
        <v>3</v>
      </c>
      <c r="AH720" s="4">
        <v>5</v>
      </c>
      <c r="AI720" s="4">
        <v>5</v>
      </c>
      <c r="AJ720" s="4">
        <v>14</v>
      </c>
      <c r="AK720" s="4">
        <v>14</v>
      </c>
      <c r="AL720" s="4">
        <v>1</v>
      </c>
      <c r="AM720" s="4">
        <v>1</v>
      </c>
      <c r="AN720" s="4">
        <v>0</v>
      </c>
      <c r="AO720" s="4">
        <v>0</v>
      </c>
      <c r="AP720" s="3" t="s">
        <v>58</v>
      </c>
      <c r="AQ720" s="3" t="s">
        <v>58</v>
      </c>
      <c r="AS720" s="6" t="str">
        <f>HYPERLINK("https://creighton-primo.hosted.exlibrisgroup.com/primo-explore/search?tab=default_tab&amp;search_scope=EVERYTHING&amp;vid=01CRU&amp;lang=en_US&amp;offset=0&amp;query=any,contains,991003980219702656","Catalog Record")</f>
        <v>Catalog Record</v>
      </c>
      <c r="AT720" s="6" t="str">
        <f>HYPERLINK("http://www.worldcat.org/oclc/2019534","WorldCat Record")</f>
        <v>WorldCat Record</v>
      </c>
      <c r="AU720" s="3" t="s">
        <v>9194</v>
      </c>
      <c r="AV720" s="3" t="s">
        <v>9195</v>
      </c>
      <c r="AW720" s="3" t="s">
        <v>9196</v>
      </c>
      <c r="AX720" s="3" t="s">
        <v>9196</v>
      </c>
      <c r="AY720" s="3" t="s">
        <v>9197</v>
      </c>
      <c r="AZ720" s="3" t="s">
        <v>75</v>
      </c>
      <c r="BC720" s="3" t="s">
        <v>9198</v>
      </c>
      <c r="BD720" s="3" t="s">
        <v>9199</v>
      </c>
    </row>
    <row r="721" spans="1:56" ht="39" customHeight="1" x14ac:dyDescent="0.25">
      <c r="A721" s="7" t="s">
        <v>58</v>
      </c>
      <c r="B721" s="2" t="s">
        <v>9200</v>
      </c>
      <c r="C721" s="2" t="s">
        <v>9201</v>
      </c>
      <c r="D721" s="2" t="s">
        <v>9202</v>
      </c>
      <c r="F721" s="3" t="s">
        <v>58</v>
      </c>
      <c r="G721" s="3" t="s">
        <v>59</v>
      </c>
      <c r="H721" s="3" t="s">
        <v>58</v>
      </c>
      <c r="I721" s="3" t="s">
        <v>58</v>
      </c>
      <c r="J721" s="3" t="s">
        <v>60</v>
      </c>
      <c r="K721" s="2" t="s">
        <v>7667</v>
      </c>
      <c r="L721" s="2" t="s">
        <v>9154</v>
      </c>
      <c r="M721" s="3" t="s">
        <v>157</v>
      </c>
      <c r="O721" s="3" t="s">
        <v>65</v>
      </c>
      <c r="P721" s="3" t="s">
        <v>571</v>
      </c>
      <c r="R721" s="3" t="s">
        <v>68</v>
      </c>
      <c r="S721" s="4">
        <v>5</v>
      </c>
      <c r="T721" s="4">
        <v>5</v>
      </c>
      <c r="U721" s="5" t="s">
        <v>9203</v>
      </c>
      <c r="V721" s="5" t="s">
        <v>9203</v>
      </c>
      <c r="W721" s="5" t="s">
        <v>9118</v>
      </c>
      <c r="X721" s="5" t="s">
        <v>9118</v>
      </c>
      <c r="Y721" s="4">
        <v>135</v>
      </c>
      <c r="Z721" s="4">
        <v>114</v>
      </c>
      <c r="AA721" s="4">
        <v>115</v>
      </c>
      <c r="AB721" s="4">
        <v>2</v>
      </c>
      <c r="AC721" s="4">
        <v>2</v>
      </c>
      <c r="AD721" s="4">
        <v>14</v>
      </c>
      <c r="AE721" s="4">
        <v>14</v>
      </c>
      <c r="AF721" s="4">
        <v>2</v>
      </c>
      <c r="AG721" s="4">
        <v>2</v>
      </c>
      <c r="AH721" s="4">
        <v>4</v>
      </c>
      <c r="AI721" s="4">
        <v>4</v>
      </c>
      <c r="AJ721" s="4">
        <v>10</v>
      </c>
      <c r="AK721" s="4">
        <v>10</v>
      </c>
      <c r="AL721" s="4">
        <v>0</v>
      </c>
      <c r="AM721" s="4">
        <v>0</v>
      </c>
      <c r="AN721" s="4">
        <v>0</v>
      </c>
      <c r="AO721" s="4">
        <v>0</v>
      </c>
      <c r="AP721" s="3" t="s">
        <v>58</v>
      </c>
      <c r="AQ721" s="3" t="s">
        <v>58</v>
      </c>
      <c r="AS721" s="6" t="str">
        <f>HYPERLINK("https://creighton-primo.hosted.exlibrisgroup.com/primo-explore/search?tab=default_tab&amp;search_scope=EVERYTHING&amp;vid=01CRU&amp;lang=en_US&amp;offset=0&amp;query=any,contains,991005234449702656","Catalog Record")</f>
        <v>Catalog Record</v>
      </c>
      <c r="AT721" s="6" t="str">
        <f>HYPERLINK("http://www.worldcat.org/oclc/8353517","WorldCat Record")</f>
        <v>WorldCat Record</v>
      </c>
      <c r="AU721" s="3" t="s">
        <v>9204</v>
      </c>
      <c r="AV721" s="3" t="s">
        <v>9205</v>
      </c>
      <c r="AW721" s="3" t="s">
        <v>9206</v>
      </c>
      <c r="AX721" s="3" t="s">
        <v>9206</v>
      </c>
      <c r="AY721" s="3" t="s">
        <v>9207</v>
      </c>
      <c r="AZ721" s="3" t="s">
        <v>75</v>
      </c>
      <c r="BB721" s="3" t="s">
        <v>9208</v>
      </c>
      <c r="BC721" s="3" t="s">
        <v>9209</v>
      </c>
      <c r="BD721" s="3" t="s">
        <v>9210</v>
      </c>
    </row>
    <row r="722" spans="1:56" ht="39" customHeight="1" x14ac:dyDescent="0.25">
      <c r="A722" s="7" t="s">
        <v>58</v>
      </c>
      <c r="B722" s="2" t="s">
        <v>9211</v>
      </c>
      <c r="C722" s="2" t="s">
        <v>9212</v>
      </c>
      <c r="D722" s="2" t="s">
        <v>9213</v>
      </c>
      <c r="F722" s="3" t="s">
        <v>58</v>
      </c>
      <c r="G722" s="3" t="s">
        <v>59</v>
      </c>
      <c r="H722" s="3" t="s">
        <v>58</v>
      </c>
      <c r="I722" s="3" t="s">
        <v>58</v>
      </c>
      <c r="J722" s="3" t="s">
        <v>60</v>
      </c>
      <c r="K722" s="2" t="s">
        <v>9214</v>
      </c>
      <c r="L722" s="2" t="s">
        <v>9215</v>
      </c>
      <c r="M722" s="3" t="s">
        <v>389</v>
      </c>
      <c r="N722" s="2" t="s">
        <v>9168</v>
      </c>
      <c r="O722" s="3" t="s">
        <v>65</v>
      </c>
      <c r="P722" s="3" t="s">
        <v>186</v>
      </c>
      <c r="R722" s="3" t="s">
        <v>68</v>
      </c>
      <c r="S722" s="4">
        <v>3</v>
      </c>
      <c r="T722" s="4">
        <v>3</v>
      </c>
      <c r="U722" s="5" t="s">
        <v>4148</v>
      </c>
      <c r="V722" s="5" t="s">
        <v>4148</v>
      </c>
      <c r="W722" s="5" t="s">
        <v>9118</v>
      </c>
      <c r="X722" s="5" t="s">
        <v>9118</v>
      </c>
      <c r="Y722" s="4">
        <v>723</v>
      </c>
      <c r="Z722" s="4">
        <v>666</v>
      </c>
      <c r="AA722" s="4">
        <v>784</v>
      </c>
      <c r="AB722" s="4">
        <v>9</v>
      </c>
      <c r="AC722" s="4">
        <v>9</v>
      </c>
      <c r="AD722" s="4">
        <v>40</v>
      </c>
      <c r="AE722" s="4">
        <v>47</v>
      </c>
      <c r="AF722" s="4">
        <v>15</v>
      </c>
      <c r="AG722" s="4">
        <v>18</v>
      </c>
      <c r="AH722" s="4">
        <v>9</v>
      </c>
      <c r="AI722" s="4">
        <v>10</v>
      </c>
      <c r="AJ722" s="4">
        <v>21</v>
      </c>
      <c r="AK722" s="4">
        <v>25</v>
      </c>
      <c r="AL722" s="4">
        <v>7</v>
      </c>
      <c r="AM722" s="4">
        <v>7</v>
      </c>
      <c r="AN722" s="4">
        <v>0</v>
      </c>
      <c r="AO722" s="4">
        <v>0</v>
      </c>
      <c r="AP722" s="3" t="s">
        <v>58</v>
      </c>
      <c r="AQ722" s="3" t="s">
        <v>132</v>
      </c>
      <c r="AR722" s="6" t="str">
        <f>HYPERLINK("http://catalog.hathitrust.org/Record/001414899","HathiTrust Record")</f>
        <v>HathiTrust Record</v>
      </c>
      <c r="AS722" s="6" t="str">
        <f>HYPERLINK("https://creighton-primo.hosted.exlibrisgroup.com/primo-explore/search?tab=default_tab&amp;search_scope=EVERYTHING&amp;vid=01CRU&amp;lang=en_US&amp;offset=0&amp;query=any,contains,991002232399702656","Catalog Record")</f>
        <v>Catalog Record</v>
      </c>
      <c r="AT722" s="6" t="str">
        <f>HYPERLINK("http://www.worldcat.org/oclc/294581","WorldCat Record")</f>
        <v>WorldCat Record</v>
      </c>
      <c r="AU722" s="3" t="s">
        <v>9216</v>
      </c>
      <c r="AV722" s="3" t="s">
        <v>9217</v>
      </c>
      <c r="AW722" s="3" t="s">
        <v>9218</v>
      </c>
      <c r="AX722" s="3" t="s">
        <v>9218</v>
      </c>
      <c r="AY722" s="3" t="s">
        <v>9219</v>
      </c>
      <c r="AZ722" s="3" t="s">
        <v>75</v>
      </c>
      <c r="BC722" s="3" t="s">
        <v>9220</v>
      </c>
      <c r="BD722" s="3" t="s">
        <v>9221</v>
      </c>
    </row>
    <row r="723" spans="1:56" ht="39" customHeight="1" x14ac:dyDescent="0.25">
      <c r="A723" s="7" t="s">
        <v>58</v>
      </c>
      <c r="B723" s="2" t="s">
        <v>9222</v>
      </c>
      <c r="C723" s="2" t="s">
        <v>9223</v>
      </c>
      <c r="D723" s="2" t="s">
        <v>9224</v>
      </c>
      <c r="F723" s="3" t="s">
        <v>58</v>
      </c>
      <c r="G723" s="3" t="s">
        <v>59</v>
      </c>
      <c r="H723" s="3" t="s">
        <v>58</v>
      </c>
      <c r="I723" s="3" t="s">
        <v>58</v>
      </c>
      <c r="J723" s="3" t="s">
        <v>60</v>
      </c>
      <c r="K723" s="2" t="s">
        <v>9225</v>
      </c>
      <c r="L723" s="2" t="s">
        <v>9226</v>
      </c>
      <c r="M723" s="3" t="s">
        <v>303</v>
      </c>
      <c r="O723" s="3" t="s">
        <v>65</v>
      </c>
      <c r="P723" s="3" t="s">
        <v>2664</v>
      </c>
      <c r="R723" s="3" t="s">
        <v>68</v>
      </c>
      <c r="S723" s="4">
        <v>5</v>
      </c>
      <c r="T723" s="4">
        <v>5</v>
      </c>
      <c r="U723" s="5" t="s">
        <v>6306</v>
      </c>
      <c r="V723" s="5" t="s">
        <v>6306</v>
      </c>
      <c r="W723" s="5" t="s">
        <v>9118</v>
      </c>
      <c r="X723" s="5" t="s">
        <v>9118</v>
      </c>
      <c r="Y723" s="4">
        <v>40</v>
      </c>
      <c r="Z723" s="4">
        <v>35</v>
      </c>
      <c r="AA723" s="4">
        <v>38</v>
      </c>
      <c r="AB723" s="4">
        <v>1</v>
      </c>
      <c r="AC723" s="4">
        <v>1</v>
      </c>
      <c r="AD723" s="4">
        <v>4</v>
      </c>
      <c r="AE723" s="4">
        <v>4</v>
      </c>
      <c r="AF723" s="4">
        <v>1</v>
      </c>
      <c r="AG723" s="4">
        <v>1</v>
      </c>
      <c r="AH723" s="4">
        <v>1</v>
      </c>
      <c r="AI723" s="4">
        <v>1</v>
      </c>
      <c r="AJ723" s="4">
        <v>3</v>
      </c>
      <c r="AK723" s="4">
        <v>3</v>
      </c>
      <c r="AL723" s="4">
        <v>0</v>
      </c>
      <c r="AM723" s="4">
        <v>0</v>
      </c>
      <c r="AN723" s="4">
        <v>0</v>
      </c>
      <c r="AO723" s="4">
        <v>0</v>
      </c>
      <c r="AP723" s="3" t="s">
        <v>58</v>
      </c>
      <c r="AQ723" s="3" t="s">
        <v>58</v>
      </c>
      <c r="AS723" s="6" t="str">
        <f>HYPERLINK("https://creighton-primo.hosted.exlibrisgroup.com/primo-explore/search?tab=default_tab&amp;search_scope=EVERYTHING&amp;vid=01CRU&amp;lang=en_US&amp;offset=0&amp;query=any,contains,991005370199702656","Catalog Record")</f>
        <v>Catalog Record</v>
      </c>
      <c r="AT723" s="6" t="str">
        <f>HYPERLINK("http://www.worldcat.org/oclc/2794040","WorldCat Record")</f>
        <v>WorldCat Record</v>
      </c>
      <c r="AU723" s="3" t="s">
        <v>9227</v>
      </c>
      <c r="AV723" s="3" t="s">
        <v>9228</v>
      </c>
      <c r="AW723" s="3" t="s">
        <v>9229</v>
      </c>
      <c r="AX723" s="3" t="s">
        <v>9229</v>
      </c>
      <c r="AY723" s="3" t="s">
        <v>9230</v>
      </c>
      <c r="AZ723" s="3" t="s">
        <v>75</v>
      </c>
      <c r="BC723" s="3" t="s">
        <v>9231</v>
      </c>
      <c r="BD723" s="3" t="s">
        <v>9232</v>
      </c>
    </row>
    <row r="724" spans="1:56" ht="39" customHeight="1" x14ac:dyDescent="0.25">
      <c r="A724" s="7" t="s">
        <v>58</v>
      </c>
      <c r="B724" s="2" t="s">
        <v>9233</v>
      </c>
      <c r="C724" s="2" t="s">
        <v>9234</v>
      </c>
      <c r="D724" s="2" t="s">
        <v>9235</v>
      </c>
      <c r="F724" s="3" t="s">
        <v>58</v>
      </c>
      <c r="G724" s="3" t="s">
        <v>59</v>
      </c>
      <c r="H724" s="3" t="s">
        <v>58</v>
      </c>
      <c r="I724" s="3" t="s">
        <v>58</v>
      </c>
      <c r="J724" s="3" t="s">
        <v>60</v>
      </c>
      <c r="K724" s="2" t="s">
        <v>9236</v>
      </c>
      <c r="L724" s="2" t="s">
        <v>9237</v>
      </c>
      <c r="M724" s="3" t="s">
        <v>544</v>
      </c>
      <c r="O724" s="3" t="s">
        <v>9238</v>
      </c>
      <c r="P724" s="3" t="s">
        <v>9239</v>
      </c>
      <c r="Q724" s="2" t="s">
        <v>9240</v>
      </c>
      <c r="R724" s="3" t="s">
        <v>68</v>
      </c>
      <c r="S724" s="4">
        <v>12</v>
      </c>
      <c r="T724" s="4">
        <v>12</v>
      </c>
      <c r="U724" s="5" t="s">
        <v>9241</v>
      </c>
      <c r="V724" s="5" t="s">
        <v>9241</v>
      </c>
      <c r="W724" s="5" t="s">
        <v>9242</v>
      </c>
      <c r="X724" s="5" t="s">
        <v>9242</v>
      </c>
      <c r="Y724" s="4">
        <v>9</v>
      </c>
      <c r="Z724" s="4">
        <v>3</v>
      </c>
      <c r="AA724" s="4">
        <v>3</v>
      </c>
      <c r="AB724" s="4">
        <v>1</v>
      </c>
      <c r="AC724" s="4">
        <v>1</v>
      </c>
      <c r="AD724" s="4">
        <v>2</v>
      </c>
      <c r="AE724" s="4">
        <v>2</v>
      </c>
      <c r="AF724" s="4">
        <v>0</v>
      </c>
      <c r="AG724" s="4">
        <v>0</v>
      </c>
      <c r="AH724" s="4">
        <v>0</v>
      </c>
      <c r="AI724" s="4">
        <v>0</v>
      </c>
      <c r="AJ724" s="4">
        <v>2</v>
      </c>
      <c r="AK724" s="4">
        <v>2</v>
      </c>
      <c r="AL724" s="4">
        <v>0</v>
      </c>
      <c r="AM724" s="4">
        <v>0</v>
      </c>
      <c r="AN724" s="4">
        <v>0</v>
      </c>
      <c r="AO724" s="4">
        <v>0</v>
      </c>
      <c r="AP724" s="3" t="s">
        <v>58</v>
      </c>
      <c r="AQ724" s="3" t="s">
        <v>58</v>
      </c>
      <c r="AS724" s="6" t="str">
        <f>HYPERLINK("https://creighton-primo.hosted.exlibrisgroup.com/primo-explore/search?tab=default_tab&amp;search_scope=EVERYTHING&amp;vid=01CRU&amp;lang=en_US&amp;offset=0&amp;query=any,contains,991003037459702656","Catalog Record")</f>
        <v>Catalog Record</v>
      </c>
      <c r="AT724" s="6" t="str">
        <f>HYPERLINK("http://www.worldcat.org/oclc/41899054","WorldCat Record")</f>
        <v>WorldCat Record</v>
      </c>
      <c r="AU724" s="3" t="s">
        <v>9243</v>
      </c>
      <c r="AV724" s="3" t="s">
        <v>9244</v>
      </c>
      <c r="AW724" s="3" t="s">
        <v>9245</v>
      </c>
      <c r="AX724" s="3" t="s">
        <v>9245</v>
      </c>
      <c r="AY724" s="3" t="s">
        <v>9246</v>
      </c>
      <c r="AZ724" s="3" t="s">
        <v>75</v>
      </c>
      <c r="BB724" s="3" t="s">
        <v>9247</v>
      </c>
      <c r="BC724" s="3" t="s">
        <v>9248</v>
      </c>
      <c r="BD724" s="3" t="s">
        <v>9249</v>
      </c>
    </row>
    <row r="725" spans="1:56" ht="39" customHeight="1" x14ac:dyDescent="0.25">
      <c r="A725" s="7" t="s">
        <v>58</v>
      </c>
      <c r="B725" s="2" t="s">
        <v>9250</v>
      </c>
      <c r="C725" s="2" t="s">
        <v>9251</v>
      </c>
      <c r="D725" s="2" t="s">
        <v>9252</v>
      </c>
      <c r="F725" s="3" t="s">
        <v>58</v>
      </c>
      <c r="G725" s="3" t="s">
        <v>59</v>
      </c>
      <c r="H725" s="3" t="s">
        <v>58</v>
      </c>
      <c r="I725" s="3" t="s">
        <v>58</v>
      </c>
      <c r="J725" s="3" t="s">
        <v>60</v>
      </c>
      <c r="K725" s="2" t="s">
        <v>9253</v>
      </c>
      <c r="L725" s="2" t="s">
        <v>9254</v>
      </c>
      <c r="M725" s="3" t="s">
        <v>128</v>
      </c>
      <c r="O725" s="3" t="s">
        <v>65</v>
      </c>
      <c r="P725" s="3" t="s">
        <v>492</v>
      </c>
      <c r="R725" s="3" t="s">
        <v>68</v>
      </c>
      <c r="S725" s="4">
        <v>7</v>
      </c>
      <c r="T725" s="4">
        <v>7</v>
      </c>
      <c r="U725" s="5" t="s">
        <v>9079</v>
      </c>
      <c r="V725" s="5" t="s">
        <v>9079</v>
      </c>
      <c r="W725" s="5" t="s">
        <v>9118</v>
      </c>
      <c r="X725" s="5" t="s">
        <v>9118</v>
      </c>
      <c r="Y725" s="4">
        <v>46</v>
      </c>
      <c r="Z725" s="4">
        <v>37</v>
      </c>
      <c r="AA725" s="4">
        <v>42</v>
      </c>
      <c r="AB725" s="4">
        <v>1</v>
      </c>
      <c r="AC725" s="4">
        <v>1</v>
      </c>
      <c r="AD725" s="4">
        <v>7</v>
      </c>
      <c r="AE725" s="4">
        <v>7</v>
      </c>
      <c r="AF725" s="4">
        <v>2</v>
      </c>
      <c r="AG725" s="4">
        <v>2</v>
      </c>
      <c r="AH725" s="4">
        <v>2</v>
      </c>
      <c r="AI725" s="4">
        <v>2</v>
      </c>
      <c r="AJ725" s="4">
        <v>5</v>
      </c>
      <c r="AK725" s="4">
        <v>5</v>
      </c>
      <c r="AL725" s="4">
        <v>0</v>
      </c>
      <c r="AM725" s="4">
        <v>0</v>
      </c>
      <c r="AN725" s="4">
        <v>0</v>
      </c>
      <c r="AO725" s="4">
        <v>0</v>
      </c>
      <c r="AP725" s="3" t="s">
        <v>58</v>
      </c>
      <c r="AQ725" s="3" t="s">
        <v>58</v>
      </c>
      <c r="AS725" s="6" t="str">
        <f>HYPERLINK("https://creighton-primo.hosted.exlibrisgroup.com/primo-explore/search?tab=default_tab&amp;search_scope=EVERYTHING&amp;vid=01CRU&amp;lang=en_US&amp;offset=0&amp;query=any,contains,991004294989702656","Catalog Record")</f>
        <v>Catalog Record</v>
      </c>
      <c r="AT725" s="6" t="str">
        <f>HYPERLINK("http://www.worldcat.org/oclc/2962875","WorldCat Record")</f>
        <v>WorldCat Record</v>
      </c>
      <c r="AU725" s="3" t="s">
        <v>9255</v>
      </c>
      <c r="AV725" s="3" t="s">
        <v>9256</v>
      </c>
      <c r="AW725" s="3" t="s">
        <v>9257</v>
      </c>
      <c r="AX725" s="3" t="s">
        <v>9257</v>
      </c>
      <c r="AY725" s="3" t="s">
        <v>9258</v>
      </c>
      <c r="AZ725" s="3" t="s">
        <v>75</v>
      </c>
      <c r="BB725" s="3" t="s">
        <v>9259</v>
      </c>
      <c r="BC725" s="3" t="s">
        <v>9260</v>
      </c>
      <c r="BD725" s="3" t="s">
        <v>9261</v>
      </c>
    </row>
    <row r="726" spans="1:56" ht="39" customHeight="1" x14ac:dyDescent="0.25">
      <c r="A726" s="7" t="s">
        <v>58</v>
      </c>
      <c r="B726" s="2" t="s">
        <v>9262</v>
      </c>
      <c r="C726" s="2" t="s">
        <v>9263</v>
      </c>
      <c r="D726" s="2" t="s">
        <v>9264</v>
      </c>
      <c r="F726" s="3" t="s">
        <v>58</v>
      </c>
      <c r="G726" s="3" t="s">
        <v>59</v>
      </c>
      <c r="H726" s="3" t="s">
        <v>58</v>
      </c>
      <c r="I726" s="3" t="s">
        <v>58</v>
      </c>
      <c r="J726" s="3" t="s">
        <v>60</v>
      </c>
      <c r="K726" s="2" t="s">
        <v>9265</v>
      </c>
      <c r="L726" s="2" t="s">
        <v>3023</v>
      </c>
      <c r="M726" s="3" t="s">
        <v>781</v>
      </c>
      <c r="O726" s="3" t="s">
        <v>65</v>
      </c>
      <c r="P726" s="3" t="s">
        <v>186</v>
      </c>
      <c r="R726" s="3" t="s">
        <v>68</v>
      </c>
      <c r="S726" s="4">
        <v>14</v>
      </c>
      <c r="T726" s="4">
        <v>14</v>
      </c>
      <c r="U726" s="5" t="s">
        <v>9266</v>
      </c>
      <c r="V726" s="5" t="s">
        <v>9266</v>
      </c>
      <c r="W726" s="5" t="s">
        <v>9267</v>
      </c>
      <c r="X726" s="5" t="s">
        <v>9267</v>
      </c>
      <c r="Y726" s="4">
        <v>283</v>
      </c>
      <c r="Z726" s="4">
        <v>250</v>
      </c>
      <c r="AA726" s="4">
        <v>250</v>
      </c>
      <c r="AB726" s="4">
        <v>3</v>
      </c>
      <c r="AC726" s="4">
        <v>3</v>
      </c>
      <c r="AD726" s="4">
        <v>19</v>
      </c>
      <c r="AE726" s="4">
        <v>19</v>
      </c>
      <c r="AF726" s="4">
        <v>6</v>
      </c>
      <c r="AG726" s="4">
        <v>6</v>
      </c>
      <c r="AH726" s="4">
        <v>3</v>
      </c>
      <c r="AI726" s="4">
        <v>3</v>
      </c>
      <c r="AJ726" s="4">
        <v>13</v>
      </c>
      <c r="AK726" s="4">
        <v>13</v>
      </c>
      <c r="AL726" s="4">
        <v>0</v>
      </c>
      <c r="AM726" s="4">
        <v>0</v>
      </c>
      <c r="AN726" s="4">
        <v>0</v>
      </c>
      <c r="AO726" s="4">
        <v>0</v>
      </c>
      <c r="AP726" s="3" t="s">
        <v>58</v>
      </c>
      <c r="AQ726" s="3" t="s">
        <v>58</v>
      </c>
      <c r="AS726" s="6" t="str">
        <f>HYPERLINK("https://creighton-primo.hosted.exlibrisgroup.com/primo-explore/search?tab=default_tab&amp;search_scope=EVERYTHING&amp;vid=01CRU&amp;lang=en_US&amp;offset=0&amp;query=any,contains,991000676369702656","Catalog Record")</f>
        <v>Catalog Record</v>
      </c>
      <c r="AT726" s="6" t="str">
        <f>HYPERLINK("http://www.worldcat.org/oclc/12355495","WorldCat Record")</f>
        <v>WorldCat Record</v>
      </c>
      <c r="AU726" s="3" t="s">
        <v>9268</v>
      </c>
      <c r="AV726" s="3" t="s">
        <v>9269</v>
      </c>
      <c r="AW726" s="3" t="s">
        <v>9270</v>
      </c>
      <c r="AX726" s="3" t="s">
        <v>9270</v>
      </c>
      <c r="AY726" s="3" t="s">
        <v>9271</v>
      </c>
      <c r="AZ726" s="3" t="s">
        <v>75</v>
      </c>
      <c r="BB726" s="3" t="s">
        <v>9272</v>
      </c>
      <c r="BC726" s="3" t="s">
        <v>9273</v>
      </c>
      <c r="BD726" s="3" t="s">
        <v>9274</v>
      </c>
    </row>
    <row r="727" spans="1:56" ht="39" customHeight="1" x14ac:dyDescent="0.25">
      <c r="A727" s="7" t="s">
        <v>58</v>
      </c>
      <c r="B727" s="2" t="s">
        <v>9275</v>
      </c>
      <c r="C727" s="2" t="s">
        <v>9276</v>
      </c>
      <c r="D727" s="2" t="s">
        <v>9277</v>
      </c>
      <c r="F727" s="3" t="s">
        <v>58</v>
      </c>
      <c r="G727" s="3" t="s">
        <v>59</v>
      </c>
      <c r="H727" s="3" t="s">
        <v>58</v>
      </c>
      <c r="I727" s="3" t="s">
        <v>58</v>
      </c>
      <c r="J727" s="3" t="s">
        <v>60</v>
      </c>
      <c r="K727" s="2" t="s">
        <v>9278</v>
      </c>
      <c r="L727" s="2" t="s">
        <v>9279</v>
      </c>
      <c r="M727" s="3" t="s">
        <v>215</v>
      </c>
      <c r="O727" s="3" t="s">
        <v>65</v>
      </c>
      <c r="P727" s="3" t="s">
        <v>9280</v>
      </c>
      <c r="R727" s="3" t="s">
        <v>68</v>
      </c>
      <c r="S727" s="4">
        <v>2</v>
      </c>
      <c r="T727" s="4">
        <v>2</v>
      </c>
      <c r="U727" s="5" t="s">
        <v>9281</v>
      </c>
      <c r="V727" s="5" t="s">
        <v>9281</v>
      </c>
      <c r="W727" s="5" t="s">
        <v>9282</v>
      </c>
      <c r="X727" s="5" t="s">
        <v>9282</v>
      </c>
      <c r="Y727" s="4">
        <v>51</v>
      </c>
      <c r="Z727" s="4">
        <v>47</v>
      </c>
      <c r="AA727" s="4">
        <v>52</v>
      </c>
      <c r="AB727" s="4">
        <v>1</v>
      </c>
      <c r="AC727" s="4">
        <v>1</v>
      </c>
      <c r="AD727" s="4">
        <v>6</v>
      </c>
      <c r="AE727" s="4">
        <v>6</v>
      </c>
      <c r="AF727" s="4">
        <v>0</v>
      </c>
      <c r="AG727" s="4">
        <v>0</v>
      </c>
      <c r="AH727" s="4">
        <v>3</v>
      </c>
      <c r="AI727" s="4">
        <v>3</v>
      </c>
      <c r="AJ727" s="4">
        <v>3</v>
      </c>
      <c r="AK727" s="4">
        <v>3</v>
      </c>
      <c r="AL727" s="4">
        <v>0</v>
      </c>
      <c r="AM727" s="4">
        <v>0</v>
      </c>
      <c r="AN727" s="4">
        <v>0</v>
      </c>
      <c r="AO727" s="4">
        <v>0</v>
      </c>
      <c r="AP727" s="3" t="s">
        <v>58</v>
      </c>
      <c r="AQ727" s="3" t="s">
        <v>58</v>
      </c>
      <c r="AS727" s="6" t="str">
        <f>HYPERLINK("https://creighton-primo.hosted.exlibrisgroup.com/primo-explore/search?tab=default_tab&amp;search_scope=EVERYTHING&amp;vid=01CRU&amp;lang=en_US&amp;offset=0&amp;query=any,contains,991001324169702656","Catalog Record")</f>
        <v>Catalog Record</v>
      </c>
      <c r="AT727" s="6" t="str">
        <f>HYPERLINK("http://www.worldcat.org/oclc/18258161","WorldCat Record")</f>
        <v>WorldCat Record</v>
      </c>
      <c r="AU727" s="3" t="s">
        <v>9283</v>
      </c>
      <c r="AV727" s="3" t="s">
        <v>9284</v>
      </c>
      <c r="AW727" s="3" t="s">
        <v>9285</v>
      </c>
      <c r="AX727" s="3" t="s">
        <v>9285</v>
      </c>
      <c r="AY727" s="3" t="s">
        <v>9286</v>
      </c>
      <c r="AZ727" s="3" t="s">
        <v>75</v>
      </c>
      <c r="BB727" s="3" t="s">
        <v>9287</v>
      </c>
      <c r="BC727" s="3" t="s">
        <v>9288</v>
      </c>
      <c r="BD727" s="3" t="s">
        <v>9289</v>
      </c>
    </row>
    <row r="728" spans="1:56" ht="39" customHeight="1" x14ac:dyDescent="0.25">
      <c r="A728" s="7" t="s">
        <v>58</v>
      </c>
      <c r="B728" s="2" t="s">
        <v>9290</v>
      </c>
      <c r="C728" s="2" t="s">
        <v>9291</v>
      </c>
      <c r="D728" s="2" t="s">
        <v>9292</v>
      </c>
      <c r="F728" s="3" t="s">
        <v>58</v>
      </c>
      <c r="G728" s="3" t="s">
        <v>59</v>
      </c>
      <c r="H728" s="3" t="s">
        <v>58</v>
      </c>
      <c r="I728" s="3" t="s">
        <v>58</v>
      </c>
      <c r="J728" s="3" t="s">
        <v>60</v>
      </c>
      <c r="K728" s="2" t="s">
        <v>7725</v>
      </c>
      <c r="L728" s="2" t="s">
        <v>9293</v>
      </c>
      <c r="M728" s="3" t="s">
        <v>1150</v>
      </c>
      <c r="O728" s="3" t="s">
        <v>65</v>
      </c>
      <c r="P728" s="3" t="s">
        <v>304</v>
      </c>
      <c r="R728" s="3" t="s">
        <v>68</v>
      </c>
      <c r="S728" s="4">
        <v>6</v>
      </c>
      <c r="T728" s="4">
        <v>6</v>
      </c>
      <c r="U728" s="5" t="s">
        <v>9294</v>
      </c>
      <c r="V728" s="5" t="s">
        <v>9294</v>
      </c>
      <c r="W728" s="5" t="s">
        <v>8366</v>
      </c>
      <c r="X728" s="5" t="s">
        <v>8366</v>
      </c>
      <c r="Y728" s="4">
        <v>47</v>
      </c>
      <c r="Z728" s="4">
        <v>46</v>
      </c>
      <c r="AA728" s="4">
        <v>51</v>
      </c>
      <c r="AB728" s="4">
        <v>2</v>
      </c>
      <c r="AC728" s="4">
        <v>2</v>
      </c>
      <c r="AD728" s="4">
        <v>3</v>
      </c>
      <c r="AE728" s="4">
        <v>3</v>
      </c>
      <c r="AF728" s="4">
        <v>1</v>
      </c>
      <c r="AG728" s="4">
        <v>1</v>
      </c>
      <c r="AH728" s="4">
        <v>0</v>
      </c>
      <c r="AI728" s="4">
        <v>0</v>
      </c>
      <c r="AJ728" s="4">
        <v>3</v>
      </c>
      <c r="AK728" s="4">
        <v>3</v>
      </c>
      <c r="AL728" s="4">
        <v>0</v>
      </c>
      <c r="AM728" s="4">
        <v>0</v>
      </c>
      <c r="AN728" s="4">
        <v>0</v>
      </c>
      <c r="AO728" s="4">
        <v>0</v>
      </c>
      <c r="AP728" s="3" t="s">
        <v>58</v>
      </c>
      <c r="AQ728" s="3" t="s">
        <v>58</v>
      </c>
      <c r="AS728" s="6" t="str">
        <f>HYPERLINK("https://creighton-primo.hosted.exlibrisgroup.com/primo-explore/search?tab=default_tab&amp;search_scope=EVERYTHING&amp;vid=01CRU&amp;lang=en_US&amp;offset=0&amp;query=any,contains,991002592929702656","Catalog Record")</f>
        <v>Catalog Record</v>
      </c>
      <c r="AT728" s="6" t="str">
        <f>HYPERLINK("http://www.worldcat.org/oclc/33969949","WorldCat Record")</f>
        <v>WorldCat Record</v>
      </c>
      <c r="AU728" s="3" t="s">
        <v>9295</v>
      </c>
      <c r="AV728" s="3" t="s">
        <v>9296</v>
      </c>
      <c r="AW728" s="3" t="s">
        <v>9297</v>
      </c>
      <c r="AX728" s="3" t="s">
        <v>9297</v>
      </c>
      <c r="AY728" s="3" t="s">
        <v>9298</v>
      </c>
      <c r="AZ728" s="3" t="s">
        <v>75</v>
      </c>
      <c r="BB728" s="3" t="s">
        <v>9299</v>
      </c>
      <c r="BC728" s="3" t="s">
        <v>9300</v>
      </c>
      <c r="BD728" s="3" t="s">
        <v>9301</v>
      </c>
    </row>
    <row r="729" spans="1:56" ht="39" customHeight="1" x14ac:dyDescent="0.25">
      <c r="A729" s="7" t="s">
        <v>58</v>
      </c>
      <c r="B729" s="2" t="s">
        <v>9302</v>
      </c>
      <c r="C729" s="2" t="s">
        <v>9303</v>
      </c>
      <c r="D729" s="2" t="s">
        <v>9304</v>
      </c>
      <c r="F729" s="3" t="s">
        <v>58</v>
      </c>
      <c r="G729" s="3" t="s">
        <v>59</v>
      </c>
      <c r="H729" s="3" t="s">
        <v>58</v>
      </c>
      <c r="I729" s="3" t="s">
        <v>58</v>
      </c>
      <c r="J729" s="3" t="s">
        <v>60</v>
      </c>
      <c r="K729" s="2" t="s">
        <v>9305</v>
      </c>
      <c r="L729" s="2" t="s">
        <v>9306</v>
      </c>
      <c r="M729" s="3" t="s">
        <v>185</v>
      </c>
      <c r="O729" s="3" t="s">
        <v>65</v>
      </c>
      <c r="P729" s="3" t="s">
        <v>186</v>
      </c>
      <c r="R729" s="3" t="s">
        <v>68</v>
      </c>
      <c r="S729" s="4">
        <v>4</v>
      </c>
      <c r="T729" s="4">
        <v>4</v>
      </c>
      <c r="U729" s="5" t="s">
        <v>9307</v>
      </c>
      <c r="V729" s="5" t="s">
        <v>9307</v>
      </c>
      <c r="W729" s="5" t="s">
        <v>9308</v>
      </c>
      <c r="X729" s="5" t="s">
        <v>9308</v>
      </c>
      <c r="Y729" s="4">
        <v>99</v>
      </c>
      <c r="Z729" s="4">
        <v>82</v>
      </c>
      <c r="AA729" s="4">
        <v>82</v>
      </c>
      <c r="AB729" s="4">
        <v>1</v>
      </c>
      <c r="AC729" s="4">
        <v>1</v>
      </c>
      <c r="AD729" s="4">
        <v>8</v>
      </c>
      <c r="AE729" s="4">
        <v>8</v>
      </c>
      <c r="AF729" s="4">
        <v>4</v>
      </c>
      <c r="AG729" s="4">
        <v>4</v>
      </c>
      <c r="AH729" s="4">
        <v>2</v>
      </c>
      <c r="AI729" s="4">
        <v>2</v>
      </c>
      <c r="AJ729" s="4">
        <v>4</v>
      </c>
      <c r="AK729" s="4">
        <v>4</v>
      </c>
      <c r="AL729" s="4">
        <v>0</v>
      </c>
      <c r="AM729" s="4">
        <v>0</v>
      </c>
      <c r="AN729" s="4">
        <v>0</v>
      </c>
      <c r="AO729" s="4">
        <v>0</v>
      </c>
      <c r="AP729" s="3" t="s">
        <v>58</v>
      </c>
      <c r="AQ729" s="3" t="s">
        <v>58</v>
      </c>
      <c r="AS729" s="6" t="str">
        <f>HYPERLINK("https://creighton-primo.hosted.exlibrisgroup.com/primo-explore/search?tab=default_tab&amp;search_scope=EVERYTHING&amp;vid=01CRU&amp;lang=en_US&amp;offset=0&amp;query=any,contains,991003517239702656","Catalog Record")</f>
        <v>Catalog Record</v>
      </c>
      <c r="AT729" s="6" t="str">
        <f>HYPERLINK("http://www.worldcat.org/oclc/44578968","WorldCat Record")</f>
        <v>WorldCat Record</v>
      </c>
      <c r="AU729" s="3" t="s">
        <v>9309</v>
      </c>
      <c r="AV729" s="3" t="s">
        <v>9310</v>
      </c>
      <c r="AW729" s="3" t="s">
        <v>9311</v>
      </c>
      <c r="AX729" s="3" t="s">
        <v>9311</v>
      </c>
      <c r="AY729" s="3" t="s">
        <v>9312</v>
      </c>
      <c r="AZ729" s="3" t="s">
        <v>75</v>
      </c>
      <c r="BB729" s="3" t="s">
        <v>9313</v>
      </c>
      <c r="BC729" s="3" t="s">
        <v>9314</v>
      </c>
      <c r="BD729" s="3" t="s">
        <v>9315</v>
      </c>
    </row>
    <row r="730" spans="1:56" ht="39" customHeight="1" x14ac:dyDescent="0.25">
      <c r="A730" s="7" t="s">
        <v>58</v>
      </c>
      <c r="B730" s="2" t="s">
        <v>9316</v>
      </c>
      <c r="C730" s="2" t="s">
        <v>9317</v>
      </c>
      <c r="D730" s="2" t="s">
        <v>9318</v>
      </c>
      <c r="F730" s="3" t="s">
        <v>58</v>
      </c>
      <c r="G730" s="3" t="s">
        <v>59</v>
      </c>
      <c r="H730" s="3" t="s">
        <v>58</v>
      </c>
      <c r="I730" s="3" t="s">
        <v>58</v>
      </c>
      <c r="J730" s="3" t="s">
        <v>60</v>
      </c>
      <c r="K730" s="2" t="s">
        <v>9319</v>
      </c>
      <c r="L730" s="2" t="s">
        <v>9320</v>
      </c>
      <c r="M730" s="3" t="s">
        <v>544</v>
      </c>
      <c r="O730" s="3" t="s">
        <v>65</v>
      </c>
      <c r="P730" s="3" t="s">
        <v>158</v>
      </c>
      <c r="R730" s="3" t="s">
        <v>68</v>
      </c>
      <c r="S730" s="4">
        <v>2</v>
      </c>
      <c r="T730" s="4">
        <v>2</v>
      </c>
      <c r="U730" s="5" t="s">
        <v>9321</v>
      </c>
      <c r="V730" s="5" t="s">
        <v>9321</v>
      </c>
      <c r="W730" s="5" t="s">
        <v>5279</v>
      </c>
      <c r="X730" s="5" t="s">
        <v>5279</v>
      </c>
      <c r="Y730" s="4">
        <v>468</v>
      </c>
      <c r="Z730" s="4">
        <v>401</v>
      </c>
      <c r="AA730" s="4">
        <v>401</v>
      </c>
      <c r="AB730" s="4">
        <v>2</v>
      </c>
      <c r="AC730" s="4">
        <v>2</v>
      </c>
      <c r="AD730" s="4">
        <v>21</v>
      </c>
      <c r="AE730" s="4">
        <v>21</v>
      </c>
      <c r="AF730" s="4">
        <v>8</v>
      </c>
      <c r="AG730" s="4">
        <v>8</v>
      </c>
      <c r="AH730" s="4">
        <v>5</v>
      </c>
      <c r="AI730" s="4">
        <v>5</v>
      </c>
      <c r="AJ730" s="4">
        <v>12</v>
      </c>
      <c r="AK730" s="4">
        <v>12</v>
      </c>
      <c r="AL730" s="4">
        <v>1</v>
      </c>
      <c r="AM730" s="4">
        <v>1</v>
      </c>
      <c r="AN730" s="4">
        <v>0</v>
      </c>
      <c r="AO730" s="4">
        <v>0</v>
      </c>
      <c r="AP730" s="3" t="s">
        <v>58</v>
      </c>
      <c r="AQ730" s="3" t="s">
        <v>58</v>
      </c>
      <c r="AS730" s="6" t="str">
        <f>HYPERLINK("https://creighton-primo.hosted.exlibrisgroup.com/primo-explore/search?tab=default_tab&amp;search_scope=EVERYTHING&amp;vid=01CRU&amp;lang=en_US&amp;offset=0&amp;query=any,contains,991004781109702656","Catalog Record")</f>
        <v>Catalog Record</v>
      </c>
      <c r="AT730" s="6" t="str">
        <f>HYPERLINK("http://www.worldcat.org/oclc/41338186","WorldCat Record")</f>
        <v>WorldCat Record</v>
      </c>
      <c r="AU730" s="3" t="s">
        <v>9322</v>
      </c>
      <c r="AV730" s="3" t="s">
        <v>9323</v>
      </c>
      <c r="AW730" s="3" t="s">
        <v>9324</v>
      </c>
      <c r="AX730" s="3" t="s">
        <v>9324</v>
      </c>
      <c r="AY730" s="3" t="s">
        <v>9325</v>
      </c>
      <c r="AZ730" s="3" t="s">
        <v>75</v>
      </c>
      <c r="BB730" s="3" t="s">
        <v>9326</v>
      </c>
      <c r="BC730" s="3" t="s">
        <v>9327</v>
      </c>
      <c r="BD730" s="3" t="s">
        <v>9328</v>
      </c>
    </row>
    <row r="731" spans="1:56" ht="39" customHeight="1" x14ac:dyDescent="0.25">
      <c r="A731" s="7" t="s">
        <v>58</v>
      </c>
      <c r="B731" s="2" t="s">
        <v>9329</v>
      </c>
      <c r="C731" s="2" t="s">
        <v>9330</v>
      </c>
      <c r="D731" s="2" t="s">
        <v>9331</v>
      </c>
      <c r="F731" s="3" t="s">
        <v>58</v>
      </c>
      <c r="G731" s="3" t="s">
        <v>59</v>
      </c>
      <c r="H731" s="3" t="s">
        <v>58</v>
      </c>
      <c r="I731" s="3" t="s">
        <v>58</v>
      </c>
      <c r="J731" s="3" t="s">
        <v>60</v>
      </c>
      <c r="K731" s="2" t="s">
        <v>9332</v>
      </c>
      <c r="L731" s="2" t="s">
        <v>9333</v>
      </c>
      <c r="M731" s="3" t="s">
        <v>759</v>
      </c>
      <c r="N731" s="2" t="s">
        <v>9334</v>
      </c>
      <c r="O731" s="3" t="s">
        <v>65</v>
      </c>
      <c r="P731" s="3" t="s">
        <v>84</v>
      </c>
      <c r="R731" s="3" t="s">
        <v>68</v>
      </c>
      <c r="S731" s="4">
        <v>9</v>
      </c>
      <c r="T731" s="4">
        <v>9</v>
      </c>
      <c r="U731" s="5" t="s">
        <v>9335</v>
      </c>
      <c r="V731" s="5" t="s">
        <v>9335</v>
      </c>
      <c r="W731" s="5" t="s">
        <v>9336</v>
      </c>
      <c r="X731" s="5" t="s">
        <v>9336</v>
      </c>
      <c r="Y731" s="4">
        <v>182</v>
      </c>
      <c r="Z731" s="4">
        <v>157</v>
      </c>
      <c r="AA731" s="4">
        <v>158</v>
      </c>
      <c r="AB731" s="4">
        <v>1</v>
      </c>
      <c r="AC731" s="4">
        <v>1</v>
      </c>
      <c r="AD731" s="4">
        <v>13</v>
      </c>
      <c r="AE731" s="4">
        <v>13</v>
      </c>
      <c r="AF731" s="4">
        <v>4</v>
      </c>
      <c r="AG731" s="4">
        <v>4</v>
      </c>
      <c r="AH731" s="4">
        <v>3</v>
      </c>
      <c r="AI731" s="4">
        <v>3</v>
      </c>
      <c r="AJ731" s="4">
        <v>8</v>
      </c>
      <c r="AK731" s="4">
        <v>8</v>
      </c>
      <c r="AL731" s="4">
        <v>0</v>
      </c>
      <c r="AM731" s="4">
        <v>0</v>
      </c>
      <c r="AN731" s="4">
        <v>0</v>
      </c>
      <c r="AO731" s="4">
        <v>0</v>
      </c>
      <c r="AP731" s="3" t="s">
        <v>58</v>
      </c>
      <c r="AQ731" s="3" t="s">
        <v>58</v>
      </c>
      <c r="AS731" s="6" t="str">
        <f>HYPERLINK("https://creighton-primo.hosted.exlibrisgroup.com/primo-explore/search?tab=default_tab&amp;search_scope=EVERYTHING&amp;vid=01CRU&amp;lang=en_US&amp;offset=0&amp;query=any,contains,991001292659702656","Catalog Record")</f>
        <v>Catalog Record</v>
      </c>
      <c r="AT731" s="6" t="str">
        <f>HYPERLINK("http://www.worldcat.org/oclc/18014438","WorldCat Record")</f>
        <v>WorldCat Record</v>
      </c>
      <c r="AU731" s="3" t="s">
        <v>9337</v>
      </c>
      <c r="AV731" s="3" t="s">
        <v>9338</v>
      </c>
      <c r="AW731" s="3" t="s">
        <v>9339</v>
      </c>
      <c r="AX731" s="3" t="s">
        <v>9339</v>
      </c>
      <c r="AY731" s="3" t="s">
        <v>9340</v>
      </c>
      <c r="AZ731" s="3" t="s">
        <v>75</v>
      </c>
      <c r="BB731" s="3" t="s">
        <v>9341</v>
      </c>
      <c r="BC731" s="3" t="s">
        <v>9342</v>
      </c>
      <c r="BD731" s="3" t="s">
        <v>9343</v>
      </c>
    </row>
    <row r="732" spans="1:56" ht="39" customHeight="1" x14ac:dyDescent="0.25">
      <c r="A732" s="7" t="s">
        <v>58</v>
      </c>
      <c r="B732" s="2" t="s">
        <v>9344</v>
      </c>
      <c r="C732" s="2" t="s">
        <v>9345</v>
      </c>
      <c r="D732" s="2" t="s">
        <v>9346</v>
      </c>
      <c r="F732" s="3" t="s">
        <v>58</v>
      </c>
      <c r="G732" s="3" t="s">
        <v>59</v>
      </c>
      <c r="H732" s="3" t="s">
        <v>58</v>
      </c>
      <c r="I732" s="3" t="s">
        <v>58</v>
      </c>
      <c r="J732" s="3" t="s">
        <v>60</v>
      </c>
      <c r="K732" s="2" t="s">
        <v>9347</v>
      </c>
      <c r="L732" s="2" t="s">
        <v>9348</v>
      </c>
      <c r="M732" s="3" t="s">
        <v>1936</v>
      </c>
      <c r="O732" s="3" t="s">
        <v>65</v>
      </c>
      <c r="P732" s="3" t="s">
        <v>186</v>
      </c>
      <c r="R732" s="3" t="s">
        <v>68</v>
      </c>
      <c r="S732" s="4">
        <v>4</v>
      </c>
      <c r="T732" s="4">
        <v>4</v>
      </c>
      <c r="U732" s="5" t="s">
        <v>6520</v>
      </c>
      <c r="V732" s="5" t="s">
        <v>6520</v>
      </c>
      <c r="W732" s="5" t="s">
        <v>9118</v>
      </c>
      <c r="X732" s="5" t="s">
        <v>9118</v>
      </c>
      <c r="Y732" s="4">
        <v>293</v>
      </c>
      <c r="Z732" s="4">
        <v>266</v>
      </c>
      <c r="AA732" s="4">
        <v>309</v>
      </c>
      <c r="AB732" s="4">
        <v>3</v>
      </c>
      <c r="AC732" s="4">
        <v>3</v>
      </c>
      <c r="AD732" s="4">
        <v>30</v>
      </c>
      <c r="AE732" s="4">
        <v>33</v>
      </c>
      <c r="AF732" s="4">
        <v>10</v>
      </c>
      <c r="AG732" s="4">
        <v>10</v>
      </c>
      <c r="AH732" s="4">
        <v>6</v>
      </c>
      <c r="AI732" s="4">
        <v>8</v>
      </c>
      <c r="AJ732" s="4">
        <v>20</v>
      </c>
      <c r="AK732" s="4">
        <v>22</v>
      </c>
      <c r="AL732" s="4">
        <v>1</v>
      </c>
      <c r="AM732" s="4">
        <v>1</v>
      </c>
      <c r="AN732" s="4">
        <v>2</v>
      </c>
      <c r="AO732" s="4">
        <v>2</v>
      </c>
      <c r="AP732" s="3" t="s">
        <v>58</v>
      </c>
      <c r="AQ732" s="3" t="s">
        <v>58</v>
      </c>
      <c r="AR732" s="6" t="str">
        <f>HYPERLINK("http://catalog.hathitrust.org/Record/007882782","HathiTrust Record")</f>
        <v>HathiTrust Record</v>
      </c>
      <c r="AS732" s="6" t="str">
        <f>HYPERLINK("https://creighton-primo.hosted.exlibrisgroup.com/primo-explore/search?tab=default_tab&amp;search_scope=EVERYTHING&amp;vid=01CRU&amp;lang=en_US&amp;offset=0&amp;query=any,contains,991003947519702656","Catalog Record")</f>
        <v>Catalog Record</v>
      </c>
      <c r="AT732" s="6" t="str">
        <f>HYPERLINK("http://www.worldcat.org/oclc/1948208","WorldCat Record")</f>
        <v>WorldCat Record</v>
      </c>
      <c r="AU732" s="3" t="s">
        <v>9349</v>
      </c>
      <c r="AV732" s="3" t="s">
        <v>9350</v>
      </c>
      <c r="AW732" s="3" t="s">
        <v>9351</v>
      </c>
      <c r="AX732" s="3" t="s">
        <v>9351</v>
      </c>
      <c r="AY732" s="3" t="s">
        <v>9352</v>
      </c>
      <c r="AZ732" s="3" t="s">
        <v>75</v>
      </c>
      <c r="BC732" s="3" t="s">
        <v>9353</v>
      </c>
      <c r="BD732" s="3" t="s">
        <v>9354</v>
      </c>
    </row>
    <row r="733" spans="1:56" ht="39" customHeight="1" x14ac:dyDescent="0.25">
      <c r="A733" s="7" t="s">
        <v>58</v>
      </c>
      <c r="B733" s="2" t="s">
        <v>9355</v>
      </c>
      <c r="C733" s="2" t="s">
        <v>9356</v>
      </c>
      <c r="D733" s="2" t="s">
        <v>9357</v>
      </c>
      <c r="F733" s="3" t="s">
        <v>58</v>
      </c>
      <c r="G733" s="3" t="s">
        <v>59</v>
      </c>
      <c r="H733" s="3" t="s">
        <v>58</v>
      </c>
      <c r="I733" s="3" t="s">
        <v>58</v>
      </c>
      <c r="J733" s="3" t="s">
        <v>60</v>
      </c>
      <c r="K733" s="2" t="s">
        <v>9358</v>
      </c>
      <c r="L733" s="2" t="s">
        <v>9359</v>
      </c>
      <c r="M733" s="3" t="s">
        <v>185</v>
      </c>
      <c r="O733" s="3" t="s">
        <v>65</v>
      </c>
      <c r="P733" s="3" t="s">
        <v>245</v>
      </c>
      <c r="R733" s="3" t="s">
        <v>68</v>
      </c>
      <c r="S733" s="4">
        <v>4</v>
      </c>
      <c r="T733" s="4">
        <v>4</v>
      </c>
      <c r="U733" s="5" t="s">
        <v>5546</v>
      </c>
      <c r="V733" s="5" t="s">
        <v>5546</v>
      </c>
      <c r="W733" s="5" t="s">
        <v>9360</v>
      </c>
      <c r="X733" s="5" t="s">
        <v>9360</v>
      </c>
      <c r="Y733" s="4">
        <v>458</v>
      </c>
      <c r="Z733" s="4">
        <v>391</v>
      </c>
      <c r="AA733" s="4">
        <v>402</v>
      </c>
      <c r="AB733" s="4">
        <v>6</v>
      </c>
      <c r="AC733" s="4">
        <v>6</v>
      </c>
      <c r="AD733" s="4">
        <v>24</v>
      </c>
      <c r="AE733" s="4">
        <v>25</v>
      </c>
      <c r="AF733" s="4">
        <v>6</v>
      </c>
      <c r="AG733" s="4">
        <v>7</v>
      </c>
      <c r="AH733" s="4">
        <v>5</v>
      </c>
      <c r="AI733" s="4">
        <v>5</v>
      </c>
      <c r="AJ733" s="4">
        <v>11</v>
      </c>
      <c r="AK733" s="4">
        <v>11</v>
      </c>
      <c r="AL733" s="4">
        <v>5</v>
      </c>
      <c r="AM733" s="4">
        <v>5</v>
      </c>
      <c r="AN733" s="4">
        <v>0</v>
      </c>
      <c r="AO733" s="4">
        <v>0</v>
      </c>
      <c r="AP733" s="3" t="s">
        <v>58</v>
      </c>
      <c r="AQ733" s="3" t="s">
        <v>58</v>
      </c>
      <c r="AS733" s="6" t="str">
        <f>HYPERLINK("https://creighton-primo.hosted.exlibrisgroup.com/primo-explore/search?tab=default_tab&amp;search_scope=EVERYTHING&amp;vid=01CRU&amp;lang=en_US&amp;offset=0&amp;query=any,contains,991003494789702656","Catalog Record")</f>
        <v>Catalog Record</v>
      </c>
      <c r="AT733" s="6" t="str">
        <f>HYPERLINK("http://www.worldcat.org/oclc/43913252","WorldCat Record")</f>
        <v>WorldCat Record</v>
      </c>
      <c r="AU733" s="3" t="s">
        <v>9361</v>
      </c>
      <c r="AV733" s="3" t="s">
        <v>9362</v>
      </c>
      <c r="AW733" s="3" t="s">
        <v>9363</v>
      </c>
      <c r="AX733" s="3" t="s">
        <v>9363</v>
      </c>
      <c r="AY733" s="3" t="s">
        <v>9364</v>
      </c>
      <c r="AZ733" s="3" t="s">
        <v>75</v>
      </c>
      <c r="BB733" s="3" t="s">
        <v>9365</v>
      </c>
      <c r="BC733" s="3" t="s">
        <v>9366</v>
      </c>
      <c r="BD733" s="3" t="s">
        <v>9367</v>
      </c>
    </row>
    <row r="734" spans="1:56" ht="39" customHeight="1" x14ac:dyDescent="0.25">
      <c r="A734" s="7" t="s">
        <v>58</v>
      </c>
      <c r="B734" s="2" t="s">
        <v>9368</v>
      </c>
      <c r="C734" s="2" t="s">
        <v>9369</v>
      </c>
      <c r="D734" s="2" t="s">
        <v>9370</v>
      </c>
      <c r="F734" s="3" t="s">
        <v>58</v>
      </c>
      <c r="G734" s="3" t="s">
        <v>59</v>
      </c>
      <c r="H734" s="3" t="s">
        <v>58</v>
      </c>
      <c r="I734" s="3" t="s">
        <v>58</v>
      </c>
      <c r="J734" s="3" t="s">
        <v>60</v>
      </c>
      <c r="K734" s="2" t="s">
        <v>9371</v>
      </c>
      <c r="L734" s="2" t="s">
        <v>9372</v>
      </c>
      <c r="M734" s="3" t="s">
        <v>1738</v>
      </c>
      <c r="O734" s="3" t="s">
        <v>65</v>
      </c>
      <c r="P734" s="3" t="s">
        <v>3202</v>
      </c>
      <c r="Q734" s="2" t="s">
        <v>9373</v>
      </c>
      <c r="R734" s="3" t="s">
        <v>68</v>
      </c>
      <c r="S734" s="4">
        <v>6</v>
      </c>
      <c r="T734" s="4">
        <v>6</v>
      </c>
      <c r="U734" s="5" t="s">
        <v>9374</v>
      </c>
      <c r="V734" s="5" t="s">
        <v>9374</v>
      </c>
      <c r="W734" s="5" t="s">
        <v>9118</v>
      </c>
      <c r="X734" s="5" t="s">
        <v>9118</v>
      </c>
      <c r="Y734" s="4">
        <v>101</v>
      </c>
      <c r="Z734" s="4">
        <v>93</v>
      </c>
      <c r="AA734" s="4">
        <v>93</v>
      </c>
      <c r="AB734" s="4">
        <v>2</v>
      </c>
      <c r="AC734" s="4">
        <v>2</v>
      </c>
      <c r="AD734" s="4">
        <v>13</v>
      </c>
      <c r="AE734" s="4">
        <v>13</v>
      </c>
      <c r="AF734" s="4">
        <v>3</v>
      </c>
      <c r="AG734" s="4">
        <v>3</v>
      </c>
      <c r="AH734" s="4">
        <v>3</v>
      </c>
      <c r="AI734" s="4">
        <v>3</v>
      </c>
      <c r="AJ734" s="4">
        <v>10</v>
      </c>
      <c r="AK734" s="4">
        <v>10</v>
      </c>
      <c r="AL734" s="4">
        <v>0</v>
      </c>
      <c r="AM734" s="4">
        <v>0</v>
      </c>
      <c r="AN734" s="4">
        <v>0</v>
      </c>
      <c r="AO734" s="4">
        <v>0</v>
      </c>
      <c r="AP734" s="3" t="s">
        <v>58</v>
      </c>
      <c r="AQ734" s="3" t="s">
        <v>58</v>
      </c>
      <c r="AS734" s="6" t="str">
        <f>HYPERLINK("https://creighton-primo.hosted.exlibrisgroup.com/primo-explore/search?tab=default_tab&amp;search_scope=EVERYTHING&amp;vid=01CRU&amp;lang=en_US&amp;offset=0&amp;query=any,contains,991003984339702656","Catalog Record")</f>
        <v>Catalog Record</v>
      </c>
      <c r="AT734" s="6" t="str">
        <f>HYPERLINK("http://www.worldcat.org/oclc/2024852","WorldCat Record")</f>
        <v>WorldCat Record</v>
      </c>
      <c r="AU734" s="3" t="s">
        <v>9375</v>
      </c>
      <c r="AV734" s="3" t="s">
        <v>9376</v>
      </c>
      <c r="AW734" s="3" t="s">
        <v>9377</v>
      </c>
      <c r="AX734" s="3" t="s">
        <v>9377</v>
      </c>
      <c r="AY734" s="3" t="s">
        <v>9378</v>
      </c>
      <c r="AZ734" s="3" t="s">
        <v>75</v>
      </c>
      <c r="BC734" s="3" t="s">
        <v>9379</v>
      </c>
      <c r="BD734" s="3" t="s">
        <v>9380</v>
      </c>
    </row>
    <row r="735" spans="1:56" ht="39" customHeight="1" x14ac:dyDescent="0.25">
      <c r="A735" s="7" t="s">
        <v>58</v>
      </c>
      <c r="B735" s="2" t="s">
        <v>9381</v>
      </c>
      <c r="C735" s="2" t="s">
        <v>9382</v>
      </c>
      <c r="D735" s="2" t="s">
        <v>9383</v>
      </c>
      <c r="F735" s="3" t="s">
        <v>58</v>
      </c>
      <c r="G735" s="3" t="s">
        <v>59</v>
      </c>
      <c r="H735" s="3" t="s">
        <v>58</v>
      </c>
      <c r="I735" s="3" t="s">
        <v>58</v>
      </c>
      <c r="J735" s="3" t="s">
        <v>60</v>
      </c>
      <c r="L735" s="2" t="s">
        <v>9384</v>
      </c>
      <c r="M735" s="3" t="s">
        <v>112</v>
      </c>
      <c r="O735" s="3" t="s">
        <v>65</v>
      </c>
      <c r="P735" s="3" t="s">
        <v>84</v>
      </c>
      <c r="Q735" s="2" t="s">
        <v>9385</v>
      </c>
      <c r="R735" s="3" t="s">
        <v>68</v>
      </c>
      <c r="S735" s="4">
        <v>8</v>
      </c>
      <c r="T735" s="4">
        <v>8</v>
      </c>
      <c r="U735" s="5" t="s">
        <v>9374</v>
      </c>
      <c r="V735" s="5" t="s">
        <v>9374</v>
      </c>
      <c r="W735" s="5" t="s">
        <v>9386</v>
      </c>
      <c r="X735" s="5" t="s">
        <v>9386</v>
      </c>
      <c r="Y735" s="4">
        <v>73</v>
      </c>
      <c r="Z735" s="4">
        <v>70</v>
      </c>
      <c r="AA735" s="4">
        <v>71</v>
      </c>
      <c r="AB735" s="4">
        <v>1</v>
      </c>
      <c r="AC735" s="4">
        <v>1</v>
      </c>
      <c r="AD735" s="4">
        <v>8</v>
      </c>
      <c r="AE735" s="4">
        <v>8</v>
      </c>
      <c r="AF735" s="4">
        <v>3</v>
      </c>
      <c r="AG735" s="4">
        <v>3</v>
      </c>
      <c r="AH735" s="4">
        <v>4</v>
      </c>
      <c r="AI735" s="4">
        <v>4</v>
      </c>
      <c r="AJ735" s="4">
        <v>4</v>
      </c>
      <c r="AK735" s="4">
        <v>4</v>
      </c>
      <c r="AL735" s="4">
        <v>0</v>
      </c>
      <c r="AM735" s="4">
        <v>0</v>
      </c>
      <c r="AN735" s="4">
        <v>0</v>
      </c>
      <c r="AO735" s="4">
        <v>0</v>
      </c>
      <c r="AP735" s="3" t="s">
        <v>58</v>
      </c>
      <c r="AQ735" s="3" t="s">
        <v>132</v>
      </c>
      <c r="AR735" s="6" t="str">
        <f>HYPERLINK("http://catalog.hathitrust.org/Record/102377413","HathiTrust Record")</f>
        <v>HathiTrust Record</v>
      </c>
      <c r="AS735" s="6" t="str">
        <f>HYPERLINK("https://creighton-primo.hosted.exlibrisgroup.com/primo-explore/search?tab=default_tab&amp;search_scope=EVERYTHING&amp;vid=01CRU&amp;lang=en_US&amp;offset=0&amp;query=any,contains,991001974749702656","Catalog Record")</f>
        <v>Catalog Record</v>
      </c>
      <c r="AT735" s="6" t="str">
        <f>HYPERLINK("http://www.worldcat.org/oclc/25047897","WorldCat Record")</f>
        <v>WorldCat Record</v>
      </c>
      <c r="AU735" s="3" t="s">
        <v>9387</v>
      </c>
      <c r="AV735" s="3" t="s">
        <v>9388</v>
      </c>
      <c r="AW735" s="3" t="s">
        <v>9389</v>
      </c>
      <c r="AX735" s="3" t="s">
        <v>9389</v>
      </c>
      <c r="AY735" s="3" t="s">
        <v>9390</v>
      </c>
      <c r="AZ735" s="3" t="s">
        <v>75</v>
      </c>
      <c r="BB735" s="3" t="s">
        <v>9391</v>
      </c>
      <c r="BC735" s="3" t="s">
        <v>9392</v>
      </c>
      <c r="BD735" s="3" t="s">
        <v>9393</v>
      </c>
    </row>
    <row r="736" spans="1:56" ht="39" customHeight="1" x14ac:dyDescent="0.25">
      <c r="A736" s="7" t="s">
        <v>58</v>
      </c>
      <c r="B736" s="2" t="s">
        <v>9394</v>
      </c>
      <c r="C736" s="2" t="s">
        <v>9395</v>
      </c>
      <c r="D736" s="2" t="s">
        <v>9396</v>
      </c>
      <c r="F736" s="3" t="s">
        <v>58</v>
      </c>
      <c r="G736" s="3" t="s">
        <v>59</v>
      </c>
      <c r="H736" s="3" t="s">
        <v>58</v>
      </c>
      <c r="I736" s="3" t="s">
        <v>58</v>
      </c>
      <c r="J736" s="3" t="s">
        <v>60</v>
      </c>
      <c r="K736" s="2" t="s">
        <v>9397</v>
      </c>
      <c r="L736" s="2" t="s">
        <v>9398</v>
      </c>
      <c r="M736" s="3" t="s">
        <v>1723</v>
      </c>
      <c r="N736" s="2" t="s">
        <v>476</v>
      </c>
      <c r="O736" s="3" t="s">
        <v>65</v>
      </c>
      <c r="P736" s="3" t="s">
        <v>1724</v>
      </c>
      <c r="R736" s="3" t="s">
        <v>68</v>
      </c>
      <c r="S736" s="4">
        <v>1</v>
      </c>
      <c r="T736" s="4">
        <v>1</v>
      </c>
      <c r="U736" s="5" t="s">
        <v>9399</v>
      </c>
      <c r="V736" s="5" t="s">
        <v>9399</v>
      </c>
      <c r="W736" s="5" t="s">
        <v>9399</v>
      </c>
      <c r="X736" s="5" t="s">
        <v>9399</v>
      </c>
      <c r="Y736" s="4">
        <v>222</v>
      </c>
      <c r="Z736" s="4">
        <v>202</v>
      </c>
      <c r="AA736" s="4">
        <v>202</v>
      </c>
      <c r="AB736" s="4">
        <v>3</v>
      </c>
      <c r="AC736" s="4">
        <v>3</v>
      </c>
      <c r="AD736" s="4">
        <v>8</v>
      </c>
      <c r="AE736" s="4">
        <v>8</v>
      </c>
      <c r="AF736" s="4">
        <v>2</v>
      </c>
      <c r="AG736" s="4">
        <v>2</v>
      </c>
      <c r="AH736" s="4">
        <v>2</v>
      </c>
      <c r="AI736" s="4">
        <v>2</v>
      </c>
      <c r="AJ736" s="4">
        <v>3</v>
      </c>
      <c r="AK736" s="4">
        <v>3</v>
      </c>
      <c r="AL736" s="4">
        <v>2</v>
      </c>
      <c r="AM736" s="4">
        <v>2</v>
      </c>
      <c r="AN736" s="4">
        <v>0</v>
      </c>
      <c r="AO736" s="4">
        <v>0</v>
      </c>
      <c r="AP736" s="3" t="s">
        <v>58</v>
      </c>
      <c r="AQ736" s="3" t="s">
        <v>58</v>
      </c>
      <c r="AS736" s="6" t="str">
        <f>HYPERLINK("https://creighton-primo.hosted.exlibrisgroup.com/primo-explore/search?tab=default_tab&amp;search_scope=EVERYTHING&amp;vid=01CRU&amp;lang=en_US&amp;offset=0&amp;query=any,contains,991003518419702656","Catalog Record")</f>
        <v>Catalog Record</v>
      </c>
      <c r="AT736" s="6" t="str">
        <f>HYPERLINK("http://www.worldcat.org/oclc/43919811","WorldCat Record")</f>
        <v>WorldCat Record</v>
      </c>
      <c r="AU736" s="3" t="s">
        <v>9400</v>
      </c>
      <c r="AV736" s="3" t="s">
        <v>9401</v>
      </c>
      <c r="AW736" s="3" t="s">
        <v>9402</v>
      </c>
      <c r="AX736" s="3" t="s">
        <v>9402</v>
      </c>
      <c r="AY736" s="3" t="s">
        <v>9403</v>
      </c>
      <c r="AZ736" s="3" t="s">
        <v>75</v>
      </c>
      <c r="BB736" s="3" t="s">
        <v>9404</v>
      </c>
      <c r="BC736" s="3" t="s">
        <v>9405</v>
      </c>
      <c r="BD736" s="3" t="s">
        <v>9406</v>
      </c>
    </row>
    <row r="737" spans="1:56" ht="39" customHeight="1" x14ac:dyDescent="0.25">
      <c r="A737" s="7" t="s">
        <v>58</v>
      </c>
      <c r="B737" s="2" t="s">
        <v>9407</v>
      </c>
      <c r="C737" s="2" t="s">
        <v>9408</v>
      </c>
      <c r="D737" s="2" t="s">
        <v>9409</v>
      </c>
      <c r="F737" s="3" t="s">
        <v>58</v>
      </c>
      <c r="G737" s="3" t="s">
        <v>59</v>
      </c>
      <c r="H737" s="3" t="s">
        <v>58</v>
      </c>
      <c r="I737" s="3" t="s">
        <v>58</v>
      </c>
      <c r="J737" s="3" t="s">
        <v>60</v>
      </c>
      <c r="K737" s="2" t="s">
        <v>9410</v>
      </c>
      <c r="L737" s="2" t="s">
        <v>9411</v>
      </c>
      <c r="M737" s="3" t="s">
        <v>157</v>
      </c>
      <c r="O737" s="3" t="s">
        <v>65</v>
      </c>
      <c r="P737" s="3" t="s">
        <v>186</v>
      </c>
      <c r="R737" s="3" t="s">
        <v>68</v>
      </c>
      <c r="S737" s="4">
        <v>7</v>
      </c>
      <c r="T737" s="4">
        <v>7</v>
      </c>
      <c r="U737" s="5" t="s">
        <v>9412</v>
      </c>
      <c r="V737" s="5" t="s">
        <v>9412</v>
      </c>
      <c r="W737" s="5" t="s">
        <v>2069</v>
      </c>
      <c r="X737" s="5" t="s">
        <v>2069</v>
      </c>
      <c r="Y737" s="4">
        <v>194</v>
      </c>
      <c r="Z737" s="4">
        <v>181</v>
      </c>
      <c r="AA737" s="4">
        <v>285</v>
      </c>
      <c r="AB737" s="4">
        <v>1</v>
      </c>
      <c r="AC737" s="4">
        <v>1</v>
      </c>
      <c r="AD737" s="4">
        <v>16</v>
      </c>
      <c r="AE737" s="4">
        <v>28</v>
      </c>
      <c r="AF737" s="4">
        <v>6</v>
      </c>
      <c r="AG737" s="4">
        <v>12</v>
      </c>
      <c r="AH737" s="4">
        <v>5</v>
      </c>
      <c r="AI737" s="4">
        <v>6</v>
      </c>
      <c r="AJ737" s="4">
        <v>12</v>
      </c>
      <c r="AK737" s="4">
        <v>21</v>
      </c>
      <c r="AL737" s="4">
        <v>0</v>
      </c>
      <c r="AM737" s="4">
        <v>0</v>
      </c>
      <c r="AN737" s="4">
        <v>0</v>
      </c>
      <c r="AO737" s="4">
        <v>0</v>
      </c>
      <c r="AP737" s="3" t="s">
        <v>58</v>
      </c>
      <c r="AQ737" s="3" t="s">
        <v>132</v>
      </c>
      <c r="AR737" s="6" t="str">
        <f>HYPERLINK("http://catalog.hathitrust.org/Record/000313894","HathiTrust Record")</f>
        <v>HathiTrust Record</v>
      </c>
      <c r="AS737" s="6" t="str">
        <f>HYPERLINK("https://creighton-primo.hosted.exlibrisgroup.com/primo-explore/search?tab=default_tab&amp;search_scope=EVERYTHING&amp;vid=01CRU&amp;lang=en_US&amp;offset=0&amp;query=any,contains,991000015599702656","Catalog Record")</f>
        <v>Catalog Record</v>
      </c>
      <c r="AT737" s="6" t="str">
        <f>HYPERLINK("http://www.worldcat.org/oclc/8552741","WorldCat Record")</f>
        <v>WorldCat Record</v>
      </c>
      <c r="AU737" s="3" t="s">
        <v>9413</v>
      </c>
      <c r="AV737" s="3" t="s">
        <v>9414</v>
      </c>
      <c r="AW737" s="3" t="s">
        <v>9415</v>
      </c>
      <c r="AX737" s="3" t="s">
        <v>9415</v>
      </c>
      <c r="AY737" s="3" t="s">
        <v>9416</v>
      </c>
      <c r="AZ737" s="3" t="s">
        <v>75</v>
      </c>
      <c r="BB737" s="3" t="s">
        <v>9417</v>
      </c>
      <c r="BC737" s="3" t="s">
        <v>9418</v>
      </c>
      <c r="BD737" s="3" t="s">
        <v>9419</v>
      </c>
    </row>
    <row r="738" spans="1:56" ht="39" customHeight="1" x14ac:dyDescent="0.25">
      <c r="A738" s="7" t="s">
        <v>58</v>
      </c>
      <c r="B738" s="2" t="s">
        <v>9420</v>
      </c>
      <c r="C738" s="2" t="s">
        <v>9421</v>
      </c>
      <c r="D738" s="2" t="s">
        <v>9422</v>
      </c>
      <c r="F738" s="3" t="s">
        <v>58</v>
      </c>
      <c r="G738" s="3" t="s">
        <v>59</v>
      </c>
      <c r="H738" s="3" t="s">
        <v>58</v>
      </c>
      <c r="I738" s="3" t="s">
        <v>58</v>
      </c>
      <c r="J738" s="3" t="s">
        <v>60</v>
      </c>
      <c r="K738" s="2" t="s">
        <v>9423</v>
      </c>
      <c r="L738" s="2" t="s">
        <v>9424</v>
      </c>
      <c r="M738" s="3" t="s">
        <v>462</v>
      </c>
      <c r="N738" s="2" t="s">
        <v>476</v>
      </c>
      <c r="O738" s="3" t="s">
        <v>65</v>
      </c>
      <c r="P738" s="3" t="s">
        <v>84</v>
      </c>
      <c r="Q738" s="2" t="s">
        <v>9425</v>
      </c>
      <c r="R738" s="3" t="s">
        <v>68</v>
      </c>
      <c r="S738" s="4">
        <v>5</v>
      </c>
      <c r="T738" s="4">
        <v>5</v>
      </c>
      <c r="U738" s="5" t="s">
        <v>4296</v>
      </c>
      <c r="V738" s="5" t="s">
        <v>4296</v>
      </c>
      <c r="W738" s="5" t="s">
        <v>9118</v>
      </c>
      <c r="X738" s="5" t="s">
        <v>9118</v>
      </c>
      <c r="Y738" s="4">
        <v>157</v>
      </c>
      <c r="Z738" s="4">
        <v>140</v>
      </c>
      <c r="AA738" s="4">
        <v>140</v>
      </c>
      <c r="AB738" s="4">
        <v>1</v>
      </c>
      <c r="AC738" s="4">
        <v>1</v>
      </c>
      <c r="AD738" s="4">
        <v>2</v>
      </c>
      <c r="AE738" s="4">
        <v>2</v>
      </c>
      <c r="AF738" s="4">
        <v>1</v>
      </c>
      <c r="AG738" s="4">
        <v>1</v>
      </c>
      <c r="AH738" s="4">
        <v>1</v>
      </c>
      <c r="AI738" s="4">
        <v>1</v>
      </c>
      <c r="AJ738" s="4">
        <v>0</v>
      </c>
      <c r="AK738" s="4">
        <v>0</v>
      </c>
      <c r="AL738" s="4">
        <v>0</v>
      </c>
      <c r="AM738" s="4">
        <v>0</v>
      </c>
      <c r="AN738" s="4">
        <v>0</v>
      </c>
      <c r="AO738" s="4">
        <v>0</v>
      </c>
      <c r="AP738" s="3" t="s">
        <v>58</v>
      </c>
      <c r="AQ738" s="3" t="s">
        <v>58</v>
      </c>
      <c r="AS738" s="6" t="str">
        <f>HYPERLINK("https://creighton-primo.hosted.exlibrisgroup.com/primo-explore/search?tab=default_tab&amp;search_scope=EVERYTHING&amp;vid=01CRU&amp;lang=en_US&amp;offset=0&amp;query=any,contains,991000344739702656","Catalog Record")</f>
        <v>Catalog Record</v>
      </c>
      <c r="AT738" s="6" t="str">
        <f>HYPERLINK("http://www.worldcat.org/oclc/10277408","WorldCat Record")</f>
        <v>WorldCat Record</v>
      </c>
      <c r="AU738" s="3" t="s">
        <v>9426</v>
      </c>
      <c r="AV738" s="3" t="s">
        <v>9427</v>
      </c>
      <c r="AW738" s="3" t="s">
        <v>9428</v>
      </c>
      <c r="AX738" s="3" t="s">
        <v>9428</v>
      </c>
      <c r="AY738" s="3" t="s">
        <v>9429</v>
      </c>
      <c r="AZ738" s="3" t="s">
        <v>75</v>
      </c>
      <c r="BB738" s="3" t="s">
        <v>9430</v>
      </c>
      <c r="BC738" s="3" t="s">
        <v>9431</v>
      </c>
      <c r="BD738" s="3" t="s">
        <v>9432</v>
      </c>
    </row>
    <row r="739" spans="1:56" ht="39" customHeight="1" x14ac:dyDescent="0.25">
      <c r="A739" s="7" t="s">
        <v>58</v>
      </c>
      <c r="B739" s="2" t="s">
        <v>9433</v>
      </c>
      <c r="C739" s="2" t="s">
        <v>9434</v>
      </c>
      <c r="D739" s="2" t="s">
        <v>9435</v>
      </c>
      <c r="F739" s="3" t="s">
        <v>58</v>
      </c>
      <c r="G739" s="3" t="s">
        <v>59</v>
      </c>
      <c r="H739" s="3" t="s">
        <v>58</v>
      </c>
      <c r="I739" s="3" t="s">
        <v>58</v>
      </c>
      <c r="J739" s="3" t="s">
        <v>60</v>
      </c>
      <c r="K739" s="2" t="s">
        <v>9436</v>
      </c>
      <c r="L739" s="2" t="s">
        <v>9437</v>
      </c>
      <c r="M739" s="3" t="s">
        <v>318</v>
      </c>
      <c r="O739" s="3" t="s">
        <v>65</v>
      </c>
      <c r="P739" s="3" t="s">
        <v>186</v>
      </c>
      <c r="R739" s="3" t="s">
        <v>68</v>
      </c>
      <c r="S739" s="4">
        <v>2</v>
      </c>
      <c r="T739" s="4">
        <v>2</v>
      </c>
      <c r="U739" s="5" t="s">
        <v>4296</v>
      </c>
      <c r="V739" s="5" t="s">
        <v>4296</v>
      </c>
      <c r="W739" s="5" t="s">
        <v>9438</v>
      </c>
      <c r="X739" s="5" t="s">
        <v>9438</v>
      </c>
      <c r="Y739" s="4">
        <v>106</v>
      </c>
      <c r="Z739" s="4">
        <v>101</v>
      </c>
      <c r="AA739" s="4">
        <v>101</v>
      </c>
      <c r="AB739" s="4">
        <v>2</v>
      </c>
      <c r="AC739" s="4">
        <v>2</v>
      </c>
      <c r="AD739" s="4">
        <v>4</v>
      </c>
      <c r="AE739" s="4">
        <v>4</v>
      </c>
      <c r="AF739" s="4">
        <v>1</v>
      </c>
      <c r="AG739" s="4">
        <v>1</v>
      </c>
      <c r="AH739" s="4">
        <v>1</v>
      </c>
      <c r="AI739" s="4">
        <v>1</v>
      </c>
      <c r="AJ739" s="4">
        <v>3</v>
      </c>
      <c r="AK739" s="4">
        <v>3</v>
      </c>
      <c r="AL739" s="4">
        <v>0</v>
      </c>
      <c r="AM739" s="4">
        <v>0</v>
      </c>
      <c r="AN739" s="4">
        <v>0</v>
      </c>
      <c r="AO739" s="4">
        <v>0</v>
      </c>
      <c r="AP739" s="3" t="s">
        <v>58</v>
      </c>
      <c r="AQ739" s="3" t="s">
        <v>58</v>
      </c>
      <c r="AS739" s="6" t="str">
        <f>HYPERLINK("https://creighton-primo.hosted.exlibrisgroup.com/primo-explore/search?tab=default_tab&amp;search_scope=EVERYTHING&amp;vid=01CRU&amp;lang=en_US&amp;offset=0&amp;query=any,contains,991002958089702656","Catalog Record")</f>
        <v>Catalog Record</v>
      </c>
      <c r="AT739" s="6" t="str">
        <f>HYPERLINK("http://www.worldcat.org/oclc/39515955","WorldCat Record")</f>
        <v>WorldCat Record</v>
      </c>
      <c r="AU739" s="3" t="s">
        <v>9439</v>
      </c>
      <c r="AV739" s="3" t="s">
        <v>9440</v>
      </c>
      <c r="AW739" s="3" t="s">
        <v>9441</v>
      </c>
      <c r="AX739" s="3" t="s">
        <v>9441</v>
      </c>
      <c r="AY739" s="3" t="s">
        <v>9442</v>
      </c>
      <c r="AZ739" s="3" t="s">
        <v>75</v>
      </c>
      <c r="BB739" s="3" t="s">
        <v>9443</v>
      </c>
      <c r="BC739" s="3" t="s">
        <v>9444</v>
      </c>
      <c r="BD739" s="3" t="s">
        <v>9445</v>
      </c>
    </row>
    <row r="740" spans="1:56" ht="39" customHeight="1" x14ac:dyDescent="0.25">
      <c r="A740" s="7" t="s">
        <v>58</v>
      </c>
      <c r="B740" s="2" t="s">
        <v>9446</v>
      </c>
      <c r="C740" s="2" t="s">
        <v>9447</v>
      </c>
      <c r="D740" s="2" t="s">
        <v>9448</v>
      </c>
      <c r="F740" s="3" t="s">
        <v>58</v>
      </c>
      <c r="G740" s="3" t="s">
        <v>59</v>
      </c>
      <c r="H740" s="3" t="s">
        <v>58</v>
      </c>
      <c r="I740" s="3" t="s">
        <v>58</v>
      </c>
      <c r="J740" s="3" t="s">
        <v>60</v>
      </c>
      <c r="K740" s="2" t="s">
        <v>9449</v>
      </c>
      <c r="L740" s="2" t="s">
        <v>9450</v>
      </c>
      <c r="M740" s="3" t="s">
        <v>318</v>
      </c>
      <c r="O740" s="3" t="s">
        <v>65</v>
      </c>
      <c r="P740" s="3" t="s">
        <v>158</v>
      </c>
      <c r="R740" s="3" t="s">
        <v>68</v>
      </c>
      <c r="S740" s="4">
        <v>1</v>
      </c>
      <c r="T740" s="4">
        <v>1</v>
      </c>
      <c r="U740" s="5" t="s">
        <v>9451</v>
      </c>
      <c r="V740" s="5" t="s">
        <v>9451</v>
      </c>
      <c r="W740" s="5" t="s">
        <v>9451</v>
      </c>
      <c r="X740" s="5" t="s">
        <v>9451</v>
      </c>
      <c r="Y740" s="4">
        <v>238</v>
      </c>
      <c r="Z740" s="4">
        <v>215</v>
      </c>
      <c r="AA740" s="4">
        <v>215</v>
      </c>
      <c r="AB740" s="4">
        <v>4</v>
      </c>
      <c r="AC740" s="4">
        <v>4</v>
      </c>
      <c r="AD740" s="4">
        <v>9</v>
      </c>
      <c r="AE740" s="4">
        <v>9</v>
      </c>
      <c r="AF740" s="4">
        <v>4</v>
      </c>
      <c r="AG740" s="4">
        <v>4</v>
      </c>
      <c r="AH740" s="4">
        <v>3</v>
      </c>
      <c r="AI740" s="4">
        <v>3</v>
      </c>
      <c r="AJ740" s="4">
        <v>3</v>
      </c>
      <c r="AK740" s="4">
        <v>3</v>
      </c>
      <c r="AL740" s="4">
        <v>1</v>
      </c>
      <c r="AM740" s="4">
        <v>1</v>
      </c>
      <c r="AN740" s="4">
        <v>0</v>
      </c>
      <c r="AO740" s="4">
        <v>0</v>
      </c>
      <c r="AP740" s="3" t="s">
        <v>58</v>
      </c>
      <c r="AQ740" s="3" t="s">
        <v>58</v>
      </c>
      <c r="AS740" s="6" t="str">
        <f>HYPERLINK("https://creighton-primo.hosted.exlibrisgroup.com/primo-explore/search?tab=default_tab&amp;search_scope=EVERYTHING&amp;vid=01CRU&amp;lang=en_US&amp;offset=0&amp;query=any,contains,991004712559702656","Catalog Record")</f>
        <v>Catalog Record</v>
      </c>
      <c r="AT740" s="6" t="str">
        <f>HYPERLINK("http://www.worldcat.org/oclc/38879381","WorldCat Record")</f>
        <v>WorldCat Record</v>
      </c>
      <c r="AU740" s="3" t="s">
        <v>9452</v>
      </c>
      <c r="AV740" s="3" t="s">
        <v>9453</v>
      </c>
      <c r="AW740" s="3" t="s">
        <v>9454</v>
      </c>
      <c r="AX740" s="3" t="s">
        <v>9454</v>
      </c>
      <c r="AY740" s="3" t="s">
        <v>9455</v>
      </c>
      <c r="AZ740" s="3" t="s">
        <v>75</v>
      </c>
      <c r="BB740" s="3" t="s">
        <v>9456</v>
      </c>
      <c r="BC740" s="3" t="s">
        <v>9457</v>
      </c>
      <c r="BD740" s="3" t="s">
        <v>9458</v>
      </c>
    </row>
    <row r="741" spans="1:56" ht="39" customHeight="1" x14ac:dyDescent="0.25">
      <c r="A741" s="7" t="s">
        <v>58</v>
      </c>
      <c r="B741" s="2" t="s">
        <v>9459</v>
      </c>
      <c r="C741" s="2" t="s">
        <v>9460</v>
      </c>
      <c r="D741" s="2" t="s">
        <v>9461</v>
      </c>
      <c r="F741" s="3" t="s">
        <v>58</v>
      </c>
      <c r="G741" s="3" t="s">
        <v>59</v>
      </c>
      <c r="H741" s="3" t="s">
        <v>58</v>
      </c>
      <c r="I741" s="3" t="s">
        <v>58</v>
      </c>
      <c r="J741" s="3" t="s">
        <v>60</v>
      </c>
      <c r="K741" s="2" t="s">
        <v>9462</v>
      </c>
      <c r="L741" s="2" t="s">
        <v>9463</v>
      </c>
      <c r="M741" s="3" t="s">
        <v>9464</v>
      </c>
      <c r="O741" s="3" t="s">
        <v>65</v>
      </c>
      <c r="P741" s="3" t="s">
        <v>186</v>
      </c>
      <c r="R741" s="3" t="s">
        <v>68</v>
      </c>
      <c r="S741" s="4">
        <v>2</v>
      </c>
      <c r="T741" s="4">
        <v>2</v>
      </c>
      <c r="U741" s="5" t="s">
        <v>9465</v>
      </c>
      <c r="V741" s="5" t="s">
        <v>9465</v>
      </c>
      <c r="W741" s="5" t="s">
        <v>9118</v>
      </c>
      <c r="X741" s="5" t="s">
        <v>9118</v>
      </c>
      <c r="Y741" s="4">
        <v>30</v>
      </c>
      <c r="Z741" s="4">
        <v>30</v>
      </c>
      <c r="AA741" s="4">
        <v>44</v>
      </c>
      <c r="AB741" s="4">
        <v>1</v>
      </c>
      <c r="AC741" s="4">
        <v>1</v>
      </c>
      <c r="AD741" s="4">
        <v>6</v>
      </c>
      <c r="AE741" s="4">
        <v>9</v>
      </c>
      <c r="AF741" s="4">
        <v>0</v>
      </c>
      <c r="AG741" s="4">
        <v>0</v>
      </c>
      <c r="AH741" s="4">
        <v>3</v>
      </c>
      <c r="AI741" s="4">
        <v>4</v>
      </c>
      <c r="AJ741" s="4">
        <v>4</v>
      </c>
      <c r="AK741" s="4">
        <v>6</v>
      </c>
      <c r="AL741" s="4">
        <v>0</v>
      </c>
      <c r="AM741" s="4">
        <v>0</v>
      </c>
      <c r="AN741" s="4">
        <v>0</v>
      </c>
      <c r="AO741" s="4">
        <v>0</v>
      </c>
      <c r="AP741" s="3" t="s">
        <v>58</v>
      </c>
      <c r="AQ741" s="3" t="s">
        <v>58</v>
      </c>
      <c r="AS741" s="6" t="str">
        <f>HYPERLINK("https://creighton-primo.hosted.exlibrisgroup.com/primo-explore/search?tab=default_tab&amp;search_scope=EVERYTHING&amp;vid=01CRU&amp;lang=en_US&amp;offset=0&amp;query=any,contains,991005005179702656","Catalog Record")</f>
        <v>Catalog Record</v>
      </c>
      <c r="AT741" s="6" t="str">
        <f>HYPERLINK("http://www.worldcat.org/oclc/6561120","WorldCat Record")</f>
        <v>WorldCat Record</v>
      </c>
      <c r="AU741" s="3" t="s">
        <v>9466</v>
      </c>
      <c r="AV741" s="3" t="s">
        <v>9467</v>
      </c>
      <c r="AW741" s="3" t="s">
        <v>9468</v>
      </c>
      <c r="AX741" s="3" t="s">
        <v>9468</v>
      </c>
      <c r="AY741" s="3" t="s">
        <v>9469</v>
      </c>
      <c r="AZ741" s="3" t="s">
        <v>75</v>
      </c>
      <c r="BC741" s="3" t="s">
        <v>9470</v>
      </c>
      <c r="BD741" s="3" t="s">
        <v>9471</v>
      </c>
    </row>
    <row r="742" spans="1:56" ht="39" customHeight="1" x14ac:dyDescent="0.25">
      <c r="A742" s="7" t="s">
        <v>58</v>
      </c>
      <c r="B742" s="2" t="s">
        <v>9472</v>
      </c>
      <c r="C742" s="2" t="s">
        <v>9473</v>
      </c>
      <c r="D742" s="2" t="s">
        <v>9474</v>
      </c>
      <c r="F742" s="3" t="s">
        <v>58</v>
      </c>
      <c r="G742" s="3" t="s">
        <v>59</v>
      </c>
      <c r="H742" s="3" t="s">
        <v>58</v>
      </c>
      <c r="I742" s="3" t="s">
        <v>58</v>
      </c>
      <c r="J742" s="3" t="s">
        <v>60</v>
      </c>
      <c r="K742" s="2" t="s">
        <v>9475</v>
      </c>
      <c r="L742" s="2" t="s">
        <v>9476</v>
      </c>
      <c r="M742" s="3" t="s">
        <v>172</v>
      </c>
      <c r="O742" s="3" t="s">
        <v>1490</v>
      </c>
      <c r="P742" s="3" t="s">
        <v>954</v>
      </c>
      <c r="Q742" s="2" t="s">
        <v>9477</v>
      </c>
      <c r="R742" s="3" t="s">
        <v>68</v>
      </c>
      <c r="S742" s="4">
        <v>2</v>
      </c>
      <c r="T742" s="4">
        <v>2</v>
      </c>
      <c r="U742" s="5" t="s">
        <v>9478</v>
      </c>
      <c r="V742" s="5" t="s">
        <v>9478</v>
      </c>
      <c r="W742" s="5" t="s">
        <v>9118</v>
      </c>
      <c r="X742" s="5" t="s">
        <v>9118</v>
      </c>
      <c r="Y742" s="4">
        <v>67</v>
      </c>
      <c r="Z742" s="4">
        <v>42</v>
      </c>
      <c r="AA742" s="4">
        <v>42</v>
      </c>
      <c r="AB742" s="4">
        <v>1</v>
      </c>
      <c r="AC742" s="4">
        <v>1</v>
      </c>
      <c r="AD742" s="4">
        <v>5</v>
      </c>
      <c r="AE742" s="4">
        <v>5</v>
      </c>
      <c r="AF742" s="4">
        <v>0</v>
      </c>
      <c r="AG742" s="4">
        <v>0</v>
      </c>
      <c r="AH742" s="4">
        <v>1</v>
      </c>
      <c r="AI742" s="4">
        <v>1</v>
      </c>
      <c r="AJ742" s="4">
        <v>5</v>
      </c>
      <c r="AK742" s="4">
        <v>5</v>
      </c>
      <c r="AL742" s="4">
        <v>0</v>
      </c>
      <c r="AM742" s="4">
        <v>0</v>
      </c>
      <c r="AN742" s="4">
        <v>0</v>
      </c>
      <c r="AO742" s="4">
        <v>0</v>
      </c>
      <c r="AP742" s="3" t="s">
        <v>58</v>
      </c>
      <c r="AQ742" s="3" t="s">
        <v>58</v>
      </c>
      <c r="AS742" s="6" t="str">
        <f>HYPERLINK("https://creighton-primo.hosted.exlibrisgroup.com/primo-explore/search?tab=default_tab&amp;search_scope=EVERYTHING&amp;vid=01CRU&amp;lang=en_US&amp;offset=0&amp;query=any,contains,991002981649702656","Catalog Record")</f>
        <v>Catalog Record</v>
      </c>
      <c r="AT742" s="6" t="str">
        <f>HYPERLINK("http://www.worldcat.org/oclc/555319","WorldCat Record")</f>
        <v>WorldCat Record</v>
      </c>
      <c r="AU742" s="3" t="s">
        <v>9479</v>
      </c>
      <c r="AV742" s="3" t="s">
        <v>9480</v>
      </c>
      <c r="AW742" s="3" t="s">
        <v>9481</v>
      </c>
      <c r="AX742" s="3" t="s">
        <v>9481</v>
      </c>
      <c r="AY742" s="3" t="s">
        <v>9482</v>
      </c>
      <c r="AZ742" s="3" t="s">
        <v>75</v>
      </c>
      <c r="BC742" s="3" t="s">
        <v>9483</v>
      </c>
      <c r="BD742" s="3" t="s">
        <v>9484</v>
      </c>
    </row>
    <row r="743" spans="1:56" ht="39" customHeight="1" x14ac:dyDescent="0.25">
      <c r="A743" s="7" t="s">
        <v>58</v>
      </c>
      <c r="B743" s="2" t="s">
        <v>9485</v>
      </c>
      <c r="C743" s="2" t="s">
        <v>9486</v>
      </c>
      <c r="D743" s="2" t="s">
        <v>9487</v>
      </c>
      <c r="F743" s="3" t="s">
        <v>58</v>
      </c>
      <c r="G743" s="3" t="s">
        <v>59</v>
      </c>
      <c r="H743" s="3" t="s">
        <v>58</v>
      </c>
      <c r="I743" s="3" t="s">
        <v>58</v>
      </c>
      <c r="J743" s="3" t="s">
        <v>60</v>
      </c>
      <c r="K743" s="2" t="s">
        <v>9488</v>
      </c>
      <c r="L743" s="2" t="s">
        <v>9489</v>
      </c>
      <c r="M743" s="3" t="s">
        <v>63</v>
      </c>
      <c r="O743" s="3" t="s">
        <v>65</v>
      </c>
      <c r="P743" s="3" t="s">
        <v>66</v>
      </c>
      <c r="R743" s="3" t="s">
        <v>68</v>
      </c>
      <c r="S743" s="4">
        <v>2</v>
      </c>
      <c r="T743" s="4">
        <v>2</v>
      </c>
      <c r="U743" s="5" t="s">
        <v>9490</v>
      </c>
      <c r="V743" s="5" t="s">
        <v>9490</v>
      </c>
      <c r="W743" s="5" t="s">
        <v>9118</v>
      </c>
      <c r="X743" s="5" t="s">
        <v>9118</v>
      </c>
      <c r="Y743" s="4">
        <v>31</v>
      </c>
      <c r="Z743" s="4">
        <v>25</v>
      </c>
      <c r="AA743" s="4">
        <v>26</v>
      </c>
      <c r="AB743" s="4">
        <v>1</v>
      </c>
      <c r="AC743" s="4">
        <v>1</v>
      </c>
      <c r="AD743" s="4">
        <v>5</v>
      </c>
      <c r="AE743" s="4">
        <v>5</v>
      </c>
      <c r="AF743" s="4">
        <v>0</v>
      </c>
      <c r="AG743" s="4">
        <v>0</v>
      </c>
      <c r="AH743" s="4">
        <v>1</v>
      </c>
      <c r="AI743" s="4">
        <v>1</v>
      </c>
      <c r="AJ743" s="4">
        <v>4</v>
      </c>
      <c r="AK743" s="4">
        <v>4</v>
      </c>
      <c r="AL743" s="4">
        <v>0</v>
      </c>
      <c r="AM743" s="4">
        <v>0</v>
      </c>
      <c r="AN743" s="4">
        <v>0</v>
      </c>
      <c r="AO743" s="4">
        <v>0</v>
      </c>
      <c r="AP743" s="3" t="s">
        <v>58</v>
      </c>
      <c r="AQ743" s="3" t="s">
        <v>58</v>
      </c>
      <c r="AS743" s="6" t="str">
        <f>HYPERLINK("https://creighton-primo.hosted.exlibrisgroup.com/primo-explore/search?tab=default_tab&amp;search_scope=EVERYTHING&amp;vid=01CRU&amp;lang=en_US&amp;offset=0&amp;query=any,contains,991005005209702656","Catalog Record")</f>
        <v>Catalog Record</v>
      </c>
      <c r="AT743" s="6" t="str">
        <f>HYPERLINK("http://www.worldcat.org/oclc/6561142","WorldCat Record")</f>
        <v>WorldCat Record</v>
      </c>
      <c r="AU743" s="3" t="s">
        <v>9491</v>
      </c>
      <c r="AV743" s="3" t="s">
        <v>9492</v>
      </c>
      <c r="AW743" s="3" t="s">
        <v>9493</v>
      </c>
      <c r="AX743" s="3" t="s">
        <v>9493</v>
      </c>
      <c r="AY743" s="3" t="s">
        <v>9494</v>
      </c>
      <c r="AZ743" s="3" t="s">
        <v>75</v>
      </c>
      <c r="BC743" s="3" t="s">
        <v>9495</v>
      </c>
      <c r="BD743" s="3" t="s">
        <v>9496</v>
      </c>
    </row>
    <row r="744" spans="1:56" ht="39" customHeight="1" x14ac:dyDescent="0.25">
      <c r="A744" s="7" t="s">
        <v>58</v>
      </c>
      <c r="B744" s="2" t="s">
        <v>9497</v>
      </c>
      <c r="C744" s="2" t="s">
        <v>9498</v>
      </c>
      <c r="D744" s="2" t="s">
        <v>9499</v>
      </c>
      <c r="F744" s="3" t="s">
        <v>58</v>
      </c>
      <c r="G744" s="3" t="s">
        <v>59</v>
      </c>
      <c r="H744" s="3" t="s">
        <v>58</v>
      </c>
      <c r="I744" s="3" t="s">
        <v>58</v>
      </c>
      <c r="J744" s="3" t="s">
        <v>60</v>
      </c>
      <c r="K744" s="2" t="s">
        <v>9500</v>
      </c>
      <c r="L744" s="2" t="s">
        <v>9501</v>
      </c>
      <c r="M744" s="3" t="s">
        <v>2418</v>
      </c>
      <c r="N744" s="2" t="s">
        <v>2831</v>
      </c>
      <c r="O744" s="3" t="s">
        <v>65</v>
      </c>
      <c r="P744" s="3" t="s">
        <v>186</v>
      </c>
      <c r="R744" s="3" t="s">
        <v>68</v>
      </c>
      <c r="S744" s="4">
        <v>1</v>
      </c>
      <c r="T744" s="4">
        <v>1</v>
      </c>
      <c r="U744" s="5" t="s">
        <v>9502</v>
      </c>
      <c r="V744" s="5" t="s">
        <v>9502</v>
      </c>
      <c r="W744" s="5" t="s">
        <v>9118</v>
      </c>
      <c r="X744" s="5" t="s">
        <v>9118</v>
      </c>
      <c r="Y744" s="4">
        <v>492</v>
      </c>
      <c r="Z744" s="4">
        <v>450</v>
      </c>
      <c r="AA744" s="4">
        <v>507</v>
      </c>
      <c r="AB744" s="4">
        <v>4</v>
      </c>
      <c r="AC744" s="4">
        <v>4</v>
      </c>
      <c r="AD744" s="4">
        <v>27</v>
      </c>
      <c r="AE744" s="4">
        <v>32</v>
      </c>
      <c r="AF744" s="4">
        <v>8</v>
      </c>
      <c r="AG744" s="4">
        <v>8</v>
      </c>
      <c r="AH744" s="4">
        <v>7</v>
      </c>
      <c r="AI744" s="4">
        <v>8</v>
      </c>
      <c r="AJ744" s="4">
        <v>18</v>
      </c>
      <c r="AK744" s="4">
        <v>23</v>
      </c>
      <c r="AL744" s="4">
        <v>3</v>
      </c>
      <c r="AM744" s="4">
        <v>3</v>
      </c>
      <c r="AN744" s="4">
        <v>0</v>
      </c>
      <c r="AO744" s="4">
        <v>0</v>
      </c>
      <c r="AP744" s="3" t="s">
        <v>58</v>
      </c>
      <c r="AQ744" s="3" t="s">
        <v>58</v>
      </c>
      <c r="AS744" s="6" t="str">
        <f>HYPERLINK("https://creighton-primo.hosted.exlibrisgroup.com/primo-explore/search?tab=default_tab&amp;search_scope=EVERYTHING&amp;vid=01CRU&amp;lang=en_US&amp;offset=0&amp;query=any,contains,991003077589702656","Catalog Record")</f>
        <v>Catalog Record</v>
      </c>
      <c r="AT744" s="6" t="str">
        <f>HYPERLINK("http://www.worldcat.org/oclc/630554","WorldCat Record")</f>
        <v>WorldCat Record</v>
      </c>
      <c r="AU744" s="3" t="s">
        <v>9503</v>
      </c>
      <c r="AV744" s="3" t="s">
        <v>9504</v>
      </c>
      <c r="AW744" s="3" t="s">
        <v>9505</v>
      </c>
      <c r="AX744" s="3" t="s">
        <v>9505</v>
      </c>
      <c r="AY744" s="3" t="s">
        <v>9506</v>
      </c>
      <c r="AZ744" s="3" t="s">
        <v>75</v>
      </c>
      <c r="BB744" s="3" t="s">
        <v>9507</v>
      </c>
      <c r="BC744" s="3" t="s">
        <v>9508</v>
      </c>
      <c r="BD744" s="3" t="s">
        <v>9509</v>
      </c>
    </row>
    <row r="745" spans="1:56" ht="39" customHeight="1" x14ac:dyDescent="0.25">
      <c r="A745" s="7" t="s">
        <v>58</v>
      </c>
      <c r="B745" s="2" t="s">
        <v>9510</v>
      </c>
      <c r="C745" s="2" t="s">
        <v>9511</v>
      </c>
      <c r="D745" s="2" t="s">
        <v>9512</v>
      </c>
      <c r="F745" s="3" t="s">
        <v>58</v>
      </c>
      <c r="G745" s="3" t="s">
        <v>59</v>
      </c>
      <c r="H745" s="3" t="s">
        <v>58</v>
      </c>
      <c r="I745" s="3" t="s">
        <v>58</v>
      </c>
      <c r="J745" s="3" t="s">
        <v>60</v>
      </c>
      <c r="K745" s="2" t="s">
        <v>9513</v>
      </c>
      <c r="L745" s="2" t="s">
        <v>9514</v>
      </c>
      <c r="M745" s="3" t="s">
        <v>1449</v>
      </c>
      <c r="O745" s="3" t="s">
        <v>65</v>
      </c>
      <c r="P745" s="3" t="s">
        <v>954</v>
      </c>
      <c r="R745" s="3" t="s">
        <v>68</v>
      </c>
      <c r="S745" s="4">
        <v>7</v>
      </c>
      <c r="T745" s="4">
        <v>7</v>
      </c>
      <c r="U745" s="5" t="s">
        <v>9490</v>
      </c>
      <c r="V745" s="5" t="s">
        <v>9490</v>
      </c>
      <c r="W745" s="5" t="s">
        <v>9118</v>
      </c>
      <c r="X745" s="5" t="s">
        <v>9118</v>
      </c>
      <c r="Y745" s="4">
        <v>137</v>
      </c>
      <c r="Z745" s="4">
        <v>107</v>
      </c>
      <c r="AA745" s="4">
        <v>234</v>
      </c>
      <c r="AB745" s="4">
        <v>1</v>
      </c>
      <c r="AC745" s="4">
        <v>3</v>
      </c>
      <c r="AD745" s="4">
        <v>3</v>
      </c>
      <c r="AE745" s="4">
        <v>6</v>
      </c>
      <c r="AF745" s="4">
        <v>3</v>
      </c>
      <c r="AG745" s="4">
        <v>4</v>
      </c>
      <c r="AH745" s="4">
        <v>0</v>
      </c>
      <c r="AI745" s="4">
        <v>0</v>
      </c>
      <c r="AJ745" s="4">
        <v>1</v>
      </c>
      <c r="AK745" s="4">
        <v>1</v>
      </c>
      <c r="AL745" s="4">
        <v>0</v>
      </c>
      <c r="AM745" s="4">
        <v>2</v>
      </c>
      <c r="AN745" s="4">
        <v>0</v>
      </c>
      <c r="AO745" s="4">
        <v>0</v>
      </c>
      <c r="AP745" s="3" t="s">
        <v>58</v>
      </c>
      <c r="AQ745" s="3" t="s">
        <v>132</v>
      </c>
      <c r="AR745" s="6" t="str">
        <f>HYPERLINK("http://catalog.hathitrust.org/Record/009906995","HathiTrust Record")</f>
        <v>HathiTrust Record</v>
      </c>
      <c r="AS745" s="6" t="str">
        <f>HYPERLINK("https://creighton-primo.hosted.exlibrisgroup.com/primo-explore/search?tab=default_tab&amp;search_scope=EVERYTHING&amp;vid=01CRU&amp;lang=en_US&amp;offset=0&amp;query=any,contains,991002644159702656","Catalog Record")</f>
        <v>Catalog Record</v>
      </c>
      <c r="AT745" s="6" t="str">
        <f>HYPERLINK("http://www.worldcat.org/oclc/385199","WorldCat Record")</f>
        <v>WorldCat Record</v>
      </c>
      <c r="AU745" s="3" t="s">
        <v>9515</v>
      </c>
      <c r="AV745" s="3" t="s">
        <v>9516</v>
      </c>
      <c r="AW745" s="3" t="s">
        <v>9517</v>
      </c>
      <c r="AX745" s="3" t="s">
        <v>9517</v>
      </c>
      <c r="AY745" s="3" t="s">
        <v>9518</v>
      </c>
      <c r="AZ745" s="3" t="s">
        <v>75</v>
      </c>
      <c r="BC745" s="3" t="s">
        <v>9519</v>
      </c>
      <c r="BD745" s="3" t="s">
        <v>9520</v>
      </c>
    </row>
    <row r="746" spans="1:56" ht="39" customHeight="1" x14ac:dyDescent="0.25">
      <c r="A746" s="7" t="s">
        <v>58</v>
      </c>
      <c r="B746" s="2" t="s">
        <v>9521</v>
      </c>
      <c r="C746" s="2" t="s">
        <v>9522</v>
      </c>
      <c r="D746" s="2" t="s">
        <v>9523</v>
      </c>
      <c r="F746" s="3" t="s">
        <v>58</v>
      </c>
      <c r="G746" s="3" t="s">
        <v>59</v>
      </c>
      <c r="H746" s="3" t="s">
        <v>58</v>
      </c>
      <c r="I746" s="3" t="s">
        <v>58</v>
      </c>
      <c r="J746" s="3" t="s">
        <v>60</v>
      </c>
      <c r="K746" s="2" t="s">
        <v>9524</v>
      </c>
      <c r="L746" s="2" t="s">
        <v>9525</v>
      </c>
      <c r="M746" s="3" t="s">
        <v>3163</v>
      </c>
      <c r="O746" s="3" t="s">
        <v>65</v>
      </c>
      <c r="P746" s="3" t="s">
        <v>954</v>
      </c>
      <c r="R746" s="3" t="s">
        <v>68</v>
      </c>
      <c r="S746" s="4">
        <v>2</v>
      </c>
      <c r="T746" s="4">
        <v>2</v>
      </c>
      <c r="U746" s="5" t="s">
        <v>9526</v>
      </c>
      <c r="V746" s="5" t="s">
        <v>9526</v>
      </c>
      <c r="W746" s="5" t="s">
        <v>9118</v>
      </c>
      <c r="X746" s="5" t="s">
        <v>9118</v>
      </c>
      <c r="Y746" s="4">
        <v>98</v>
      </c>
      <c r="Z746" s="4">
        <v>83</v>
      </c>
      <c r="AA746" s="4">
        <v>83</v>
      </c>
      <c r="AB746" s="4">
        <v>2</v>
      </c>
      <c r="AC746" s="4">
        <v>2</v>
      </c>
      <c r="AD746" s="4">
        <v>22</v>
      </c>
      <c r="AE746" s="4">
        <v>22</v>
      </c>
      <c r="AF746" s="4">
        <v>7</v>
      </c>
      <c r="AG746" s="4">
        <v>7</v>
      </c>
      <c r="AH746" s="4">
        <v>5</v>
      </c>
      <c r="AI746" s="4">
        <v>5</v>
      </c>
      <c r="AJ746" s="4">
        <v>18</v>
      </c>
      <c r="AK746" s="4">
        <v>18</v>
      </c>
      <c r="AL746" s="4">
        <v>0</v>
      </c>
      <c r="AM746" s="4">
        <v>0</v>
      </c>
      <c r="AN746" s="4">
        <v>0</v>
      </c>
      <c r="AO746" s="4">
        <v>0</v>
      </c>
      <c r="AP746" s="3" t="s">
        <v>58</v>
      </c>
      <c r="AQ746" s="3" t="s">
        <v>58</v>
      </c>
      <c r="AS746" s="6" t="str">
        <f>HYPERLINK("https://creighton-primo.hosted.exlibrisgroup.com/primo-explore/search?tab=default_tab&amp;search_scope=EVERYTHING&amp;vid=01CRU&amp;lang=en_US&amp;offset=0&amp;query=any,contains,991003309689702656","Catalog Record")</f>
        <v>Catalog Record</v>
      </c>
      <c r="AT746" s="6" t="str">
        <f>HYPERLINK("http://www.worldcat.org/oclc/833542","WorldCat Record")</f>
        <v>WorldCat Record</v>
      </c>
      <c r="AU746" s="3" t="s">
        <v>9527</v>
      </c>
      <c r="AV746" s="3" t="s">
        <v>9528</v>
      </c>
      <c r="AW746" s="3" t="s">
        <v>9529</v>
      </c>
      <c r="AX746" s="3" t="s">
        <v>9529</v>
      </c>
      <c r="AY746" s="3" t="s">
        <v>9530</v>
      </c>
      <c r="AZ746" s="3" t="s">
        <v>75</v>
      </c>
      <c r="BC746" s="3" t="s">
        <v>9531</v>
      </c>
      <c r="BD746" s="3" t="s">
        <v>9532</v>
      </c>
    </row>
    <row r="747" spans="1:56" ht="39" customHeight="1" x14ac:dyDescent="0.25">
      <c r="A747" s="7" t="s">
        <v>58</v>
      </c>
      <c r="B747" s="2" t="s">
        <v>9533</v>
      </c>
      <c r="C747" s="2" t="s">
        <v>9534</v>
      </c>
      <c r="D747" s="2" t="s">
        <v>9535</v>
      </c>
      <c r="F747" s="3" t="s">
        <v>58</v>
      </c>
      <c r="G747" s="3" t="s">
        <v>59</v>
      </c>
      <c r="H747" s="3" t="s">
        <v>58</v>
      </c>
      <c r="I747" s="3" t="s">
        <v>58</v>
      </c>
      <c r="J747" s="3" t="s">
        <v>60</v>
      </c>
      <c r="L747" s="2" t="s">
        <v>9536</v>
      </c>
      <c r="M747" s="3" t="s">
        <v>3656</v>
      </c>
      <c r="O747" s="3" t="s">
        <v>65</v>
      </c>
      <c r="P747" s="3" t="s">
        <v>84</v>
      </c>
      <c r="R747" s="3" t="s">
        <v>68</v>
      </c>
      <c r="S747" s="4">
        <v>1</v>
      </c>
      <c r="T747" s="4">
        <v>1</v>
      </c>
      <c r="U747" s="5" t="s">
        <v>518</v>
      </c>
      <c r="V747" s="5" t="s">
        <v>518</v>
      </c>
      <c r="W747" s="5" t="s">
        <v>9537</v>
      </c>
      <c r="X747" s="5" t="s">
        <v>9537</v>
      </c>
      <c r="Y747" s="4">
        <v>103</v>
      </c>
      <c r="Z747" s="4">
        <v>95</v>
      </c>
      <c r="AA747" s="4">
        <v>130</v>
      </c>
      <c r="AB747" s="4">
        <v>1</v>
      </c>
      <c r="AC747" s="4">
        <v>2</v>
      </c>
      <c r="AD747" s="4">
        <v>10</v>
      </c>
      <c r="AE747" s="4">
        <v>13</v>
      </c>
      <c r="AF747" s="4">
        <v>5</v>
      </c>
      <c r="AG747" s="4">
        <v>6</v>
      </c>
      <c r="AH747" s="4">
        <v>2</v>
      </c>
      <c r="AI747" s="4">
        <v>3</v>
      </c>
      <c r="AJ747" s="4">
        <v>4</v>
      </c>
      <c r="AK747" s="4">
        <v>5</v>
      </c>
      <c r="AL747" s="4">
        <v>0</v>
      </c>
      <c r="AM747" s="4">
        <v>1</v>
      </c>
      <c r="AN747" s="4">
        <v>0</v>
      </c>
      <c r="AO747" s="4">
        <v>0</v>
      </c>
      <c r="AP747" s="3" t="s">
        <v>58</v>
      </c>
      <c r="AQ747" s="3" t="s">
        <v>132</v>
      </c>
      <c r="AR747" s="6" t="str">
        <f>HYPERLINK("http://catalog.hathitrust.org/Record/102059487","HathiTrust Record")</f>
        <v>HathiTrust Record</v>
      </c>
      <c r="AS747" s="6" t="str">
        <f>HYPERLINK("https://creighton-primo.hosted.exlibrisgroup.com/primo-explore/search?tab=default_tab&amp;search_scope=EVERYTHING&amp;vid=01CRU&amp;lang=en_US&amp;offset=0&amp;query=any,contains,991002847989702656","Catalog Record")</f>
        <v>Catalog Record</v>
      </c>
      <c r="AT747" s="6" t="str">
        <f>HYPERLINK("http://www.worldcat.org/oclc/37527702","WorldCat Record")</f>
        <v>WorldCat Record</v>
      </c>
      <c r="AU747" s="3" t="s">
        <v>9538</v>
      </c>
      <c r="AV747" s="3" t="s">
        <v>9539</v>
      </c>
      <c r="AW747" s="3" t="s">
        <v>9540</v>
      </c>
      <c r="AX747" s="3" t="s">
        <v>9540</v>
      </c>
      <c r="AY747" s="3" t="s">
        <v>9541</v>
      </c>
      <c r="AZ747" s="3" t="s">
        <v>75</v>
      </c>
      <c r="BB747" s="3" t="s">
        <v>9542</v>
      </c>
      <c r="BC747" s="3" t="s">
        <v>9543</v>
      </c>
      <c r="BD747" s="3" t="s">
        <v>9544</v>
      </c>
    </row>
    <row r="748" spans="1:56" ht="39" customHeight="1" x14ac:dyDescent="0.25">
      <c r="A748" s="7" t="s">
        <v>58</v>
      </c>
      <c r="B748" s="2" t="s">
        <v>9545</v>
      </c>
      <c r="C748" s="2" t="s">
        <v>9546</v>
      </c>
      <c r="D748" s="2" t="s">
        <v>9547</v>
      </c>
      <c r="F748" s="3" t="s">
        <v>58</v>
      </c>
      <c r="G748" s="3" t="s">
        <v>59</v>
      </c>
      <c r="H748" s="3" t="s">
        <v>58</v>
      </c>
      <c r="I748" s="3" t="s">
        <v>58</v>
      </c>
      <c r="J748" s="3" t="s">
        <v>60</v>
      </c>
      <c r="K748" s="2" t="s">
        <v>9548</v>
      </c>
      <c r="L748" s="2" t="s">
        <v>9549</v>
      </c>
      <c r="M748" s="3" t="s">
        <v>682</v>
      </c>
      <c r="O748" s="3" t="s">
        <v>1372</v>
      </c>
      <c r="P748" s="3" t="s">
        <v>66</v>
      </c>
      <c r="R748" s="3" t="s">
        <v>68</v>
      </c>
      <c r="S748" s="4">
        <v>1</v>
      </c>
      <c r="T748" s="4">
        <v>1</v>
      </c>
      <c r="U748" s="5" t="s">
        <v>9550</v>
      </c>
      <c r="V748" s="5" t="s">
        <v>9550</v>
      </c>
      <c r="W748" s="5" t="s">
        <v>9550</v>
      </c>
      <c r="X748" s="5" t="s">
        <v>9550</v>
      </c>
      <c r="Y748" s="4">
        <v>56</v>
      </c>
      <c r="Z748" s="4">
        <v>24</v>
      </c>
      <c r="AA748" s="4">
        <v>44</v>
      </c>
      <c r="AB748" s="4">
        <v>1</v>
      </c>
      <c r="AC748" s="4">
        <v>1</v>
      </c>
      <c r="AD748" s="4">
        <v>2</v>
      </c>
      <c r="AE748" s="4">
        <v>5</v>
      </c>
      <c r="AF748" s="4">
        <v>0</v>
      </c>
      <c r="AG748" s="4">
        <v>1</v>
      </c>
      <c r="AH748" s="4">
        <v>0</v>
      </c>
      <c r="AI748" s="4">
        <v>1</v>
      </c>
      <c r="AJ748" s="4">
        <v>2</v>
      </c>
      <c r="AK748" s="4">
        <v>3</v>
      </c>
      <c r="AL748" s="4">
        <v>0</v>
      </c>
      <c r="AM748" s="4">
        <v>0</v>
      </c>
      <c r="AN748" s="4">
        <v>0</v>
      </c>
      <c r="AO748" s="4">
        <v>0</v>
      </c>
      <c r="AP748" s="3" t="s">
        <v>58</v>
      </c>
      <c r="AQ748" s="3" t="s">
        <v>132</v>
      </c>
      <c r="AR748" s="6" t="str">
        <f>HYPERLINK("http://catalog.hathitrust.org/Record/001769017","HathiTrust Record")</f>
        <v>HathiTrust Record</v>
      </c>
      <c r="AS748" s="6" t="str">
        <f>HYPERLINK("https://creighton-primo.hosted.exlibrisgroup.com/primo-explore/search?tab=default_tab&amp;search_scope=EVERYTHING&amp;vid=01CRU&amp;lang=en_US&amp;offset=0&amp;query=any,contains,991004960959702656","Catalog Record")</f>
        <v>Catalog Record</v>
      </c>
      <c r="AT748" s="6" t="str">
        <f>HYPERLINK("http://www.worldcat.org/oclc/23522076","WorldCat Record")</f>
        <v>WorldCat Record</v>
      </c>
      <c r="AU748" s="3" t="s">
        <v>9551</v>
      </c>
      <c r="AV748" s="3" t="s">
        <v>9552</v>
      </c>
      <c r="AW748" s="3" t="s">
        <v>9553</v>
      </c>
      <c r="AX748" s="3" t="s">
        <v>9553</v>
      </c>
      <c r="AY748" s="3" t="s">
        <v>9554</v>
      </c>
      <c r="AZ748" s="3" t="s">
        <v>75</v>
      </c>
      <c r="BC748" s="3" t="s">
        <v>9555</v>
      </c>
      <c r="BD748" s="3" t="s">
        <v>9556</v>
      </c>
    </row>
    <row r="749" spans="1:56" ht="39" customHeight="1" x14ac:dyDescent="0.25">
      <c r="A749" s="7" t="s">
        <v>58</v>
      </c>
      <c r="B749" s="2" t="s">
        <v>9557</v>
      </c>
      <c r="C749" s="2" t="s">
        <v>9558</v>
      </c>
      <c r="D749" s="2" t="s">
        <v>9559</v>
      </c>
      <c r="F749" s="3" t="s">
        <v>58</v>
      </c>
      <c r="G749" s="3" t="s">
        <v>59</v>
      </c>
      <c r="H749" s="3" t="s">
        <v>58</v>
      </c>
      <c r="I749" s="3" t="s">
        <v>132</v>
      </c>
      <c r="J749" s="3" t="s">
        <v>60</v>
      </c>
      <c r="K749" s="2" t="s">
        <v>9560</v>
      </c>
      <c r="L749" s="2" t="s">
        <v>9561</v>
      </c>
      <c r="M749" s="3" t="s">
        <v>4490</v>
      </c>
      <c r="N749" s="2" t="s">
        <v>7006</v>
      </c>
      <c r="O749" s="3" t="s">
        <v>65</v>
      </c>
      <c r="P749" s="3" t="s">
        <v>954</v>
      </c>
      <c r="R749" s="3" t="s">
        <v>68</v>
      </c>
      <c r="S749" s="4">
        <v>1</v>
      </c>
      <c r="T749" s="4">
        <v>1</v>
      </c>
      <c r="U749" s="5" t="s">
        <v>4958</v>
      </c>
      <c r="V749" s="5" t="s">
        <v>4958</v>
      </c>
      <c r="W749" s="5" t="s">
        <v>3989</v>
      </c>
      <c r="X749" s="5" t="s">
        <v>3989</v>
      </c>
      <c r="Y749" s="4">
        <v>86</v>
      </c>
      <c r="Z749" s="4">
        <v>79</v>
      </c>
      <c r="AA749" s="4">
        <v>249</v>
      </c>
      <c r="AB749" s="4">
        <v>2</v>
      </c>
      <c r="AC749" s="4">
        <v>3</v>
      </c>
      <c r="AD749" s="4">
        <v>8</v>
      </c>
      <c r="AE749" s="4">
        <v>26</v>
      </c>
      <c r="AF749" s="4">
        <v>2</v>
      </c>
      <c r="AG749" s="4">
        <v>9</v>
      </c>
      <c r="AH749" s="4">
        <v>1</v>
      </c>
      <c r="AI749" s="4">
        <v>6</v>
      </c>
      <c r="AJ749" s="4">
        <v>7</v>
      </c>
      <c r="AK749" s="4">
        <v>19</v>
      </c>
      <c r="AL749" s="4">
        <v>0</v>
      </c>
      <c r="AM749" s="4">
        <v>1</v>
      </c>
      <c r="AN749" s="4">
        <v>0</v>
      </c>
      <c r="AO749" s="4">
        <v>0</v>
      </c>
      <c r="AP749" s="3" t="s">
        <v>58</v>
      </c>
      <c r="AQ749" s="3" t="s">
        <v>132</v>
      </c>
      <c r="AR749" s="6" t="str">
        <f>HYPERLINK("http://catalog.hathitrust.org/Record/100924047","HathiTrust Record")</f>
        <v>HathiTrust Record</v>
      </c>
      <c r="AS749" s="6" t="str">
        <f>HYPERLINK("https://creighton-primo.hosted.exlibrisgroup.com/primo-explore/search?tab=default_tab&amp;search_scope=EVERYTHING&amp;vid=01CRU&amp;lang=en_US&amp;offset=0&amp;query=any,contains,991003716949702656","Catalog Record")</f>
        <v>Catalog Record</v>
      </c>
      <c r="AT749" s="6" t="str">
        <f>HYPERLINK("http://www.worldcat.org/oclc/5173278","WorldCat Record")</f>
        <v>WorldCat Record</v>
      </c>
      <c r="AU749" s="3" t="s">
        <v>9562</v>
      </c>
      <c r="AV749" s="3" t="s">
        <v>9563</v>
      </c>
      <c r="AW749" s="3" t="s">
        <v>9564</v>
      </c>
      <c r="AX749" s="3" t="s">
        <v>9564</v>
      </c>
      <c r="AY749" s="3" t="s">
        <v>9565</v>
      </c>
      <c r="AZ749" s="3" t="s">
        <v>75</v>
      </c>
      <c r="BC749" s="3" t="s">
        <v>9566</v>
      </c>
      <c r="BD749" s="3" t="s">
        <v>9567</v>
      </c>
    </row>
    <row r="750" spans="1:56" ht="39" customHeight="1" x14ac:dyDescent="0.25">
      <c r="A750" s="7" t="s">
        <v>58</v>
      </c>
      <c r="B750" s="2" t="s">
        <v>9568</v>
      </c>
      <c r="C750" s="2" t="s">
        <v>9569</v>
      </c>
      <c r="D750" s="2" t="s">
        <v>9570</v>
      </c>
      <c r="F750" s="3" t="s">
        <v>58</v>
      </c>
      <c r="G750" s="3" t="s">
        <v>59</v>
      </c>
      <c r="H750" s="3" t="s">
        <v>58</v>
      </c>
      <c r="I750" s="3" t="s">
        <v>58</v>
      </c>
      <c r="J750" s="3" t="s">
        <v>60</v>
      </c>
      <c r="L750" s="2" t="s">
        <v>9571</v>
      </c>
      <c r="M750" s="3" t="s">
        <v>9572</v>
      </c>
      <c r="O750" s="3" t="s">
        <v>65</v>
      </c>
      <c r="P750" s="3" t="s">
        <v>245</v>
      </c>
      <c r="R750" s="3" t="s">
        <v>68</v>
      </c>
      <c r="S750" s="4">
        <v>1</v>
      </c>
      <c r="T750" s="4">
        <v>1</v>
      </c>
      <c r="U750" s="5" t="s">
        <v>9573</v>
      </c>
      <c r="V750" s="5" t="s">
        <v>9573</v>
      </c>
      <c r="W750" s="5" t="s">
        <v>3989</v>
      </c>
      <c r="X750" s="5" t="s">
        <v>3989</v>
      </c>
      <c r="Y750" s="4">
        <v>50</v>
      </c>
      <c r="Z750" s="4">
        <v>45</v>
      </c>
      <c r="AA750" s="4">
        <v>57</v>
      </c>
      <c r="AB750" s="4">
        <v>1</v>
      </c>
      <c r="AC750" s="4">
        <v>1</v>
      </c>
      <c r="AD750" s="4">
        <v>3</v>
      </c>
      <c r="AE750" s="4">
        <v>3</v>
      </c>
      <c r="AF750" s="4">
        <v>1</v>
      </c>
      <c r="AG750" s="4">
        <v>1</v>
      </c>
      <c r="AH750" s="4">
        <v>0</v>
      </c>
      <c r="AI750" s="4">
        <v>0</v>
      </c>
      <c r="AJ750" s="4">
        <v>2</v>
      </c>
      <c r="AK750" s="4">
        <v>2</v>
      </c>
      <c r="AL750" s="4">
        <v>0</v>
      </c>
      <c r="AM750" s="4">
        <v>0</v>
      </c>
      <c r="AN750" s="4">
        <v>0</v>
      </c>
      <c r="AO750" s="4">
        <v>0</v>
      </c>
      <c r="AP750" s="3" t="s">
        <v>132</v>
      </c>
      <c r="AQ750" s="3" t="s">
        <v>58</v>
      </c>
      <c r="AR750" s="6" t="str">
        <f>HYPERLINK("http://catalog.hathitrust.org/Record/100432860","HathiTrust Record")</f>
        <v>HathiTrust Record</v>
      </c>
      <c r="AS750" s="6" t="str">
        <f>HYPERLINK("https://creighton-primo.hosted.exlibrisgroup.com/primo-explore/search?tab=default_tab&amp;search_scope=EVERYTHING&amp;vid=01CRU&amp;lang=en_US&amp;offset=0&amp;query=any,contains,991004380049702656","Catalog Record")</f>
        <v>Catalog Record</v>
      </c>
      <c r="AT750" s="6" t="str">
        <f>HYPERLINK("http://www.worldcat.org/oclc/3217518","WorldCat Record")</f>
        <v>WorldCat Record</v>
      </c>
      <c r="AU750" s="3" t="s">
        <v>9574</v>
      </c>
      <c r="AV750" s="3" t="s">
        <v>9575</v>
      </c>
      <c r="AW750" s="3" t="s">
        <v>9576</v>
      </c>
      <c r="AX750" s="3" t="s">
        <v>9576</v>
      </c>
      <c r="AY750" s="3" t="s">
        <v>9577</v>
      </c>
      <c r="AZ750" s="3" t="s">
        <v>75</v>
      </c>
      <c r="BC750" s="3" t="s">
        <v>9578</v>
      </c>
      <c r="BD750" s="3" t="s">
        <v>9579</v>
      </c>
    </row>
    <row r="751" spans="1:56" ht="39" customHeight="1" x14ac:dyDescent="0.25">
      <c r="A751" s="7" t="s">
        <v>58</v>
      </c>
      <c r="B751" s="2" t="s">
        <v>9580</v>
      </c>
      <c r="C751" s="2" t="s">
        <v>9581</v>
      </c>
      <c r="D751" s="2" t="s">
        <v>9582</v>
      </c>
      <c r="F751" s="3" t="s">
        <v>58</v>
      </c>
      <c r="G751" s="3" t="s">
        <v>59</v>
      </c>
      <c r="H751" s="3" t="s">
        <v>58</v>
      </c>
      <c r="I751" s="3" t="s">
        <v>58</v>
      </c>
      <c r="J751" s="3" t="s">
        <v>60</v>
      </c>
      <c r="K751" s="2" t="s">
        <v>9583</v>
      </c>
      <c r="L751" s="2" t="s">
        <v>9584</v>
      </c>
      <c r="M751" s="3" t="s">
        <v>3920</v>
      </c>
      <c r="O751" s="3" t="s">
        <v>65</v>
      </c>
      <c r="P751" s="3" t="s">
        <v>201</v>
      </c>
      <c r="R751" s="3" t="s">
        <v>68</v>
      </c>
      <c r="S751" s="4">
        <v>2</v>
      </c>
      <c r="T751" s="4">
        <v>2</v>
      </c>
      <c r="U751" s="5" t="s">
        <v>9585</v>
      </c>
      <c r="V751" s="5" t="s">
        <v>9585</v>
      </c>
      <c r="W751" s="5" t="s">
        <v>9586</v>
      </c>
      <c r="X751" s="5" t="s">
        <v>9586</v>
      </c>
      <c r="Y751" s="4">
        <v>188</v>
      </c>
      <c r="Z751" s="4">
        <v>154</v>
      </c>
      <c r="AA751" s="4">
        <v>154</v>
      </c>
      <c r="AB751" s="4">
        <v>1</v>
      </c>
      <c r="AC751" s="4">
        <v>1</v>
      </c>
      <c r="AD751" s="4">
        <v>14</v>
      </c>
      <c r="AE751" s="4">
        <v>14</v>
      </c>
      <c r="AF751" s="4">
        <v>5</v>
      </c>
      <c r="AG751" s="4">
        <v>5</v>
      </c>
      <c r="AH751" s="4">
        <v>5</v>
      </c>
      <c r="AI751" s="4">
        <v>5</v>
      </c>
      <c r="AJ751" s="4">
        <v>9</v>
      </c>
      <c r="AK751" s="4">
        <v>9</v>
      </c>
      <c r="AL751" s="4">
        <v>0</v>
      </c>
      <c r="AM751" s="4">
        <v>0</v>
      </c>
      <c r="AN751" s="4">
        <v>0</v>
      </c>
      <c r="AO751" s="4">
        <v>0</v>
      </c>
      <c r="AP751" s="3" t="s">
        <v>58</v>
      </c>
      <c r="AQ751" s="3" t="s">
        <v>58</v>
      </c>
      <c r="AS751" s="6" t="str">
        <f>HYPERLINK("https://creighton-primo.hosted.exlibrisgroup.com/primo-explore/search?tab=default_tab&amp;search_scope=EVERYTHING&amp;vid=01CRU&amp;lang=en_US&amp;offset=0&amp;query=any,contains,991004684279702656","Catalog Record")</f>
        <v>Catalog Record</v>
      </c>
      <c r="AT751" s="6" t="str">
        <f>HYPERLINK("http://www.worldcat.org/oclc/57514787","WorldCat Record")</f>
        <v>WorldCat Record</v>
      </c>
      <c r="AU751" s="3" t="s">
        <v>9587</v>
      </c>
      <c r="AV751" s="3" t="s">
        <v>9588</v>
      </c>
      <c r="AW751" s="3" t="s">
        <v>9589</v>
      </c>
      <c r="AX751" s="3" t="s">
        <v>9589</v>
      </c>
      <c r="AY751" s="3" t="s">
        <v>9590</v>
      </c>
      <c r="AZ751" s="3" t="s">
        <v>75</v>
      </c>
      <c r="BB751" s="3" t="s">
        <v>9591</v>
      </c>
      <c r="BC751" s="3" t="s">
        <v>9592</v>
      </c>
      <c r="BD751" s="3" t="s">
        <v>9593</v>
      </c>
    </row>
    <row r="752" spans="1:56" ht="39" customHeight="1" x14ac:dyDescent="0.25">
      <c r="A752" s="7" t="s">
        <v>58</v>
      </c>
      <c r="B752" s="2" t="s">
        <v>9594</v>
      </c>
      <c r="C752" s="2" t="s">
        <v>9595</v>
      </c>
      <c r="D752" s="2" t="s">
        <v>9596</v>
      </c>
      <c r="F752" s="3" t="s">
        <v>58</v>
      </c>
      <c r="G752" s="3" t="s">
        <v>59</v>
      </c>
      <c r="H752" s="3" t="s">
        <v>58</v>
      </c>
      <c r="I752" s="3" t="s">
        <v>58</v>
      </c>
      <c r="J752" s="3" t="s">
        <v>60</v>
      </c>
      <c r="K752" s="2" t="s">
        <v>9597</v>
      </c>
      <c r="L752" s="2" t="s">
        <v>7780</v>
      </c>
      <c r="M752" s="3" t="s">
        <v>3920</v>
      </c>
      <c r="N752" s="2" t="s">
        <v>476</v>
      </c>
      <c r="O752" s="3" t="s">
        <v>65</v>
      </c>
      <c r="P752" s="3" t="s">
        <v>477</v>
      </c>
      <c r="R752" s="3" t="s">
        <v>68</v>
      </c>
      <c r="S752" s="4">
        <v>4</v>
      </c>
      <c r="T752" s="4">
        <v>4</v>
      </c>
      <c r="U752" s="5" t="s">
        <v>9598</v>
      </c>
      <c r="V752" s="5" t="s">
        <v>9598</v>
      </c>
      <c r="W752" s="5" t="s">
        <v>9599</v>
      </c>
      <c r="X752" s="5" t="s">
        <v>9599</v>
      </c>
      <c r="Y752" s="4">
        <v>134</v>
      </c>
      <c r="Z752" s="4">
        <v>119</v>
      </c>
      <c r="AA752" s="4">
        <v>119</v>
      </c>
      <c r="AB752" s="4">
        <v>2</v>
      </c>
      <c r="AC752" s="4">
        <v>2</v>
      </c>
      <c r="AD752" s="4">
        <v>5</v>
      </c>
      <c r="AE752" s="4">
        <v>5</v>
      </c>
      <c r="AF752" s="4">
        <v>4</v>
      </c>
      <c r="AG752" s="4">
        <v>4</v>
      </c>
      <c r="AH752" s="4">
        <v>1</v>
      </c>
      <c r="AI752" s="4">
        <v>1</v>
      </c>
      <c r="AJ752" s="4">
        <v>2</v>
      </c>
      <c r="AK752" s="4">
        <v>2</v>
      </c>
      <c r="AL752" s="4">
        <v>0</v>
      </c>
      <c r="AM752" s="4">
        <v>0</v>
      </c>
      <c r="AN752" s="4">
        <v>0</v>
      </c>
      <c r="AO752" s="4">
        <v>0</v>
      </c>
      <c r="AP752" s="3" t="s">
        <v>58</v>
      </c>
      <c r="AQ752" s="3" t="s">
        <v>58</v>
      </c>
      <c r="AS752" s="6" t="str">
        <f>HYPERLINK("https://creighton-primo.hosted.exlibrisgroup.com/primo-explore/search?tab=default_tab&amp;search_scope=EVERYTHING&amp;vid=01CRU&amp;lang=en_US&amp;offset=0&amp;query=any,contains,991005032539702656","Catalog Record")</f>
        <v>Catalog Record</v>
      </c>
      <c r="AT752" s="6" t="str">
        <f>HYPERLINK("http://www.worldcat.org/oclc/55797761","WorldCat Record")</f>
        <v>WorldCat Record</v>
      </c>
      <c r="AU752" s="3" t="s">
        <v>9600</v>
      </c>
      <c r="AV752" s="3" t="s">
        <v>9601</v>
      </c>
      <c r="AW752" s="3" t="s">
        <v>9602</v>
      </c>
      <c r="AX752" s="3" t="s">
        <v>9602</v>
      </c>
      <c r="AY752" s="3" t="s">
        <v>9603</v>
      </c>
      <c r="AZ752" s="3" t="s">
        <v>75</v>
      </c>
      <c r="BB752" s="3" t="s">
        <v>9604</v>
      </c>
      <c r="BC752" s="3" t="s">
        <v>9605</v>
      </c>
      <c r="BD752" s="3" t="s">
        <v>9606</v>
      </c>
    </row>
    <row r="753" spans="1:56" ht="39" customHeight="1" x14ac:dyDescent="0.25">
      <c r="A753" s="7" t="s">
        <v>58</v>
      </c>
      <c r="B753" s="2" t="s">
        <v>9607</v>
      </c>
      <c r="C753" s="2" t="s">
        <v>9608</v>
      </c>
      <c r="D753" s="2" t="s">
        <v>9609</v>
      </c>
      <c r="F753" s="3" t="s">
        <v>58</v>
      </c>
      <c r="G753" s="3" t="s">
        <v>59</v>
      </c>
      <c r="H753" s="3" t="s">
        <v>58</v>
      </c>
      <c r="I753" s="3" t="s">
        <v>58</v>
      </c>
      <c r="J753" s="3" t="s">
        <v>60</v>
      </c>
      <c r="K753" s="2" t="s">
        <v>9610</v>
      </c>
      <c r="L753" s="2" t="s">
        <v>9611</v>
      </c>
      <c r="M753" s="3" t="s">
        <v>9612</v>
      </c>
      <c r="O753" s="3" t="s">
        <v>65</v>
      </c>
      <c r="P753" s="3" t="s">
        <v>158</v>
      </c>
      <c r="R753" s="3" t="s">
        <v>68</v>
      </c>
      <c r="S753" s="4">
        <v>4</v>
      </c>
      <c r="T753" s="4">
        <v>4</v>
      </c>
      <c r="U753" s="5" t="s">
        <v>9465</v>
      </c>
      <c r="V753" s="5" t="s">
        <v>9465</v>
      </c>
      <c r="W753" s="5" t="s">
        <v>5214</v>
      </c>
      <c r="X753" s="5" t="s">
        <v>5214</v>
      </c>
      <c r="Y753" s="4">
        <v>125</v>
      </c>
      <c r="Z753" s="4">
        <v>107</v>
      </c>
      <c r="AA753" s="4">
        <v>108</v>
      </c>
      <c r="AB753" s="4">
        <v>2</v>
      </c>
      <c r="AC753" s="4">
        <v>2</v>
      </c>
      <c r="AD753" s="4">
        <v>9</v>
      </c>
      <c r="AE753" s="4">
        <v>9</v>
      </c>
      <c r="AF753" s="4">
        <v>3</v>
      </c>
      <c r="AG753" s="4">
        <v>3</v>
      </c>
      <c r="AH753" s="4">
        <v>4</v>
      </c>
      <c r="AI753" s="4">
        <v>4</v>
      </c>
      <c r="AJ753" s="4">
        <v>3</v>
      </c>
      <c r="AK753" s="4">
        <v>3</v>
      </c>
      <c r="AL753" s="4">
        <v>1</v>
      </c>
      <c r="AM753" s="4">
        <v>1</v>
      </c>
      <c r="AN753" s="4">
        <v>0</v>
      </c>
      <c r="AO753" s="4">
        <v>0</v>
      </c>
      <c r="AP753" s="3" t="s">
        <v>58</v>
      </c>
      <c r="AQ753" s="3" t="s">
        <v>58</v>
      </c>
      <c r="AS753" s="6" t="str">
        <f>HYPERLINK("https://creighton-primo.hosted.exlibrisgroup.com/primo-explore/search?tab=default_tab&amp;search_scope=EVERYTHING&amp;vid=01CRU&amp;lang=en_US&amp;offset=0&amp;query=any,contains,991005080069702656","Catalog Record")</f>
        <v>Catalog Record</v>
      </c>
      <c r="AT753" s="6" t="str">
        <f>HYPERLINK("http://www.worldcat.org/oclc/64065844","WorldCat Record")</f>
        <v>WorldCat Record</v>
      </c>
      <c r="AU753" s="3" t="s">
        <v>9613</v>
      </c>
      <c r="AV753" s="3" t="s">
        <v>9614</v>
      </c>
      <c r="AW753" s="3" t="s">
        <v>9615</v>
      </c>
      <c r="AX753" s="3" t="s">
        <v>9615</v>
      </c>
      <c r="AY753" s="3" t="s">
        <v>9616</v>
      </c>
      <c r="AZ753" s="3" t="s">
        <v>75</v>
      </c>
      <c r="BB753" s="3" t="s">
        <v>9617</v>
      </c>
      <c r="BC753" s="3" t="s">
        <v>9618</v>
      </c>
      <c r="BD753" s="3" t="s">
        <v>9619</v>
      </c>
    </row>
    <row r="754" spans="1:56" ht="39" customHeight="1" x14ac:dyDescent="0.25">
      <c r="A754" s="7" t="s">
        <v>58</v>
      </c>
      <c r="B754" s="2" t="s">
        <v>9620</v>
      </c>
      <c r="C754" s="2" t="s">
        <v>9621</v>
      </c>
      <c r="D754" s="2" t="s">
        <v>9622</v>
      </c>
      <c r="F754" s="3" t="s">
        <v>58</v>
      </c>
      <c r="G754" s="3" t="s">
        <v>59</v>
      </c>
      <c r="H754" s="3" t="s">
        <v>58</v>
      </c>
      <c r="I754" s="3" t="s">
        <v>58</v>
      </c>
      <c r="J754" s="3" t="s">
        <v>60</v>
      </c>
      <c r="K754" s="2" t="s">
        <v>9623</v>
      </c>
      <c r="L754" s="2" t="s">
        <v>9624</v>
      </c>
      <c r="M754" s="3" t="s">
        <v>9612</v>
      </c>
      <c r="O754" s="3" t="s">
        <v>65</v>
      </c>
      <c r="P754" s="3" t="s">
        <v>2664</v>
      </c>
      <c r="R754" s="3" t="s">
        <v>68</v>
      </c>
      <c r="S754" s="4">
        <v>4</v>
      </c>
      <c r="T754" s="4">
        <v>4</v>
      </c>
      <c r="U754" s="5" t="s">
        <v>9625</v>
      </c>
      <c r="V754" s="5" t="s">
        <v>9625</v>
      </c>
      <c r="W754" s="5" t="s">
        <v>9626</v>
      </c>
      <c r="X754" s="5" t="s">
        <v>9626</v>
      </c>
      <c r="Y754" s="4">
        <v>213</v>
      </c>
      <c r="Z754" s="4">
        <v>202</v>
      </c>
      <c r="AA754" s="4">
        <v>245</v>
      </c>
      <c r="AB754" s="4">
        <v>3</v>
      </c>
      <c r="AC754" s="4">
        <v>3</v>
      </c>
      <c r="AD754" s="4">
        <v>6</v>
      </c>
      <c r="AE754" s="4">
        <v>8</v>
      </c>
      <c r="AF754" s="4">
        <v>3</v>
      </c>
      <c r="AG754" s="4">
        <v>4</v>
      </c>
      <c r="AH754" s="4">
        <v>1</v>
      </c>
      <c r="AI754" s="4">
        <v>1</v>
      </c>
      <c r="AJ754" s="4">
        <v>2</v>
      </c>
      <c r="AK754" s="4">
        <v>3</v>
      </c>
      <c r="AL754" s="4">
        <v>1</v>
      </c>
      <c r="AM754" s="4">
        <v>1</v>
      </c>
      <c r="AN754" s="4">
        <v>0</v>
      </c>
      <c r="AO754" s="4">
        <v>0</v>
      </c>
      <c r="AP754" s="3" t="s">
        <v>58</v>
      </c>
      <c r="AQ754" s="3" t="s">
        <v>132</v>
      </c>
      <c r="AR754" s="6" t="str">
        <f>HYPERLINK("http://catalog.hathitrust.org/Record/007049315","HathiTrust Record")</f>
        <v>HathiTrust Record</v>
      </c>
      <c r="AS754" s="6" t="str">
        <f>HYPERLINK("https://creighton-primo.hosted.exlibrisgroup.com/primo-explore/search?tab=default_tab&amp;search_scope=EVERYTHING&amp;vid=01CRU&amp;lang=en_US&amp;offset=0&amp;query=any,contains,991005005449702656","Catalog Record")</f>
        <v>Catalog Record</v>
      </c>
      <c r="AT754" s="6" t="str">
        <f>HYPERLINK("http://www.worldcat.org/oclc/77570329","WorldCat Record")</f>
        <v>WorldCat Record</v>
      </c>
      <c r="AU754" s="3" t="s">
        <v>9627</v>
      </c>
      <c r="AV754" s="3" t="s">
        <v>9628</v>
      </c>
      <c r="AW754" s="3" t="s">
        <v>9629</v>
      </c>
      <c r="AX754" s="3" t="s">
        <v>9629</v>
      </c>
      <c r="AY754" s="3" t="s">
        <v>9630</v>
      </c>
      <c r="AZ754" s="3" t="s">
        <v>75</v>
      </c>
      <c r="BB754" s="3" t="s">
        <v>9631</v>
      </c>
      <c r="BC754" s="3" t="s">
        <v>9632</v>
      </c>
      <c r="BD754" s="3" t="s">
        <v>9633</v>
      </c>
    </row>
    <row r="755" spans="1:56" ht="39" customHeight="1" x14ac:dyDescent="0.25">
      <c r="A755" s="7" t="s">
        <v>58</v>
      </c>
      <c r="B755" s="2" t="s">
        <v>9634</v>
      </c>
      <c r="C755" s="2" t="s">
        <v>9635</v>
      </c>
      <c r="D755" s="2" t="s">
        <v>9636</v>
      </c>
      <c r="F755" s="3" t="s">
        <v>58</v>
      </c>
      <c r="G755" s="3" t="s">
        <v>59</v>
      </c>
      <c r="H755" s="3" t="s">
        <v>58</v>
      </c>
      <c r="I755" s="3" t="s">
        <v>58</v>
      </c>
      <c r="J755" s="3" t="s">
        <v>60</v>
      </c>
      <c r="K755" s="2" t="s">
        <v>9637</v>
      </c>
      <c r="L755" s="2" t="s">
        <v>9638</v>
      </c>
      <c r="M755" s="3" t="s">
        <v>9612</v>
      </c>
      <c r="O755" s="3" t="s">
        <v>65</v>
      </c>
      <c r="P755" s="3" t="s">
        <v>346</v>
      </c>
      <c r="R755" s="3" t="s">
        <v>68</v>
      </c>
      <c r="S755" s="4">
        <v>5</v>
      </c>
      <c r="T755" s="4">
        <v>5</v>
      </c>
      <c r="U755" s="5" t="s">
        <v>9639</v>
      </c>
      <c r="V755" s="5" t="s">
        <v>9639</v>
      </c>
      <c r="W755" s="5" t="s">
        <v>8547</v>
      </c>
      <c r="X755" s="5" t="s">
        <v>8547</v>
      </c>
      <c r="Y755" s="4">
        <v>9</v>
      </c>
      <c r="Z755" s="4">
        <v>9</v>
      </c>
      <c r="AA755" s="4">
        <v>60</v>
      </c>
      <c r="AB755" s="4">
        <v>1</v>
      </c>
      <c r="AC755" s="4">
        <v>1</v>
      </c>
      <c r="AD755" s="4">
        <v>0</v>
      </c>
      <c r="AE755" s="4">
        <v>4</v>
      </c>
      <c r="AF755" s="4">
        <v>0</v>
      </c>
      <c r="AG755" s="4">
        <v>3</v>
      </c>
      <c r="AH755" s="4">
        <v>0</v>
      </c>
      <c r="AI755" s="4">
        <v>1</v>
      </c>
      <c r="AJ755" s="4">
        <v>0</v>
      </c>
      <c r="AK755" s="4">
        <v>0</v>
      </c>
      <c r="AL755" s="4">
        <v>0</v>
      </c>
      <c r="AM755" s="4">
        <v>0</v>
      </c>
      <c r="AN755" s="4">
        <v>0</v>
      </c>
      <c r="AO755" s="4">
        <v>0</v>
      </c>
      <c r="AP755" s="3" t="s">
        <v>58</v>
      </c>
      <c r="AQ755" s="3" t="s">
        <v>58</v>
      </c>
      <c r="AS755" s="6" t="str">
        <f>HYPERLINK("https://creighton-primo.hosted.exlibrisgroup.com/primo-explore/search?tab=default_tab&amp;search_scope=EVERYTHING&amp;vid=01CRU&amp;lang=en_US&amp;offset=0&amp;query=any,contains,991005079059702656","Catalog Record")</f>
        <v>Catalog Record</v>
      </c>
      <c r="AT755" s="6" t="str">
        <f>HYPERLINK("http://www.worldcat.org/oclc/62741371","WorldCat Record")</f>
        <v>WorldCat Record</v>
      </c>
      <c r="AU755" s="3" t="s">
        <v>9640</v>
      </c>
      <c r="AV755" s="3" t="s">
        <v>9641</v>
      </c>
      <c r="AW755" s="3" t="s">
        <v>9642</v>
      </c>
      <c r="AX755" s="3" t="s">
        <v>9642</v>
      </c>
      <c r="AY755" s="3" t="s">
        <v>9643</v>
      </c>
      <c r="AZ755" s="3" t="s">
        <v>75</v>
      </c>
      <c r="BB755" s="3" t="s">
        <v>9644</v>
      </c>
      <c r="BC755" s="3" t="s">
        <v>9645</v>
      </c>
      <c r="BD755" s="3" t="s">
        <v>9646</v>
      </c>
    </row>
    <row r="756" spans="1:56" ht="39" customHeight="1" x14ac:dyDescent="0.25">
      <c r="A756" s="7" t="s">
        <v>58</v>
      </c>
      <c r="B756" s="2" t="s">
        <v>9647</v>
      </c>
      <c r="C756" s="2" t="s">
        <v>9648</v>
      </c>
      <c r="D756" s="2" t="s">
        <v>9649</v>
      </c>
      <c r="F756" s="3" t="s">
        <v>58</v>
      </c>
      <c r="G756" s="3" t="s">
        <v>59</v>
      </c>
      <c r="H756" s="3" t="s">
        <v>58</v>
      </c>
      <c r="I756" s="3" t="s">
        <v>58</v>
      </c>
      <c r="J756" s="3" t="s">
        <v>60</v>
      </c>
      <c r="K756" s="2" t="s">
        <v>9650</v>
      </c>
      <c r="L756" s="2" t="s">
        <v>9651</v>
      </c>
      <c r="M756" s="3" t="s">
        <v>1289</v>
      </c>
      <c r="O756" s="3" t="s">
        <v>65</v>
      </c>
      <c r="P756" s="3" t="s">
        <v>304</v>
      </c>
      <c r="R756" s="3" t="s">
        <v>68</v>
      </c>
      <c r="S756" s="4">
        <v>9</v>
      </c>
      <c r="T756" s="4">
        <v>9</v>
      </c>
      <c r="U756" s="5" t="s">
        <v>9652</v>
      </c>
      <c r="V756" s="5" t="s">
        <v>9652</v>
      </c>
      <c r="W756" s="5" t="s">
        <v>9653</v>
      </c>
      <c r="X756" s="5" t="s">
        <v>9653</v>
      </c>
      <c r="Y756" s="4">
        <v>52</v>
      </c>
      <c r="Z756" s="4">
        <v>41</v>
      </c>
      <c r="AA756" s="4">
        <v>41</v>
      </c>
      <c r="AB756" s="4">
        <v>1</v>
      </c>
      <c r="AC756" s="4">
        <v>1</v>
      </c>
      <c r="AD756" s="4">
        <v>6</v>
      </c>
      <c r="AE756" s="4">
        <v>6</v>
      </c>
      <c r="AF756" s="4">
        <v>1</v>
      </c>
      <c r="AG756" s="4">
        <v>1</v>
      </c>
      <c r="AH756" s="4">
        <v>2</v>
      </c>
      <c r="AI756" s="4">
        <v>2</v>
      </c>
      <c r="AJ756" s="4">
        <v>5</v>
      </c>
      <c r="AK756" s="4">
        <v>5</v>
      </c>
      <c r="AL756" s="4">
        <v>0</v>
      </c>
      <c r="AM756" s="4">
        <v>0</v>
      </c>
      <c r="AN756" s="4">
        <v>0</v>
      </c>
      <c r="AO756" s="4">
        <v>0</v>
      </c>
      <c r="AP756" s="3" t="s">
        <v>58</v>
      </c>
      <c r="AQ756" s="3" t="s">
        <v>58</v>
      </c>
      <c r="AS756" s="6" t="str">
        <f>HYPERLINK("https://creighton-primo.hosted.exlibrisgroup.com/primo-explore/search?tab=default_tab&amp;search_scope=EVERYTHING&amp;vid=01CRU&amp;lang=en_US&amp;offset=0&amp;query=any,contains,991004287019702656","Catalog Record")</f>
        <v>Catalog Record</v>
      </c>
      <c r="AT756" s="6" t="str">
        <f>HYPERLINK("http://www.worldcat.org/oclc/53897628","WorldCat Record")</f>
        <v>WorldCat Record</v>
      </c>
      <c r="AU756" s="3" t="s">
        <v>9654</v>
      </c>
      <c r="AV756" s="3" t="s">
        <v>9655</v>
      </c>
      <c r="AW756" s="3" t="s">
        <v>9656</v>
      </c>
      <c r="AX756" s="3" t="s">
        <v>9656</v>
      </c>
      <c r="AY756" s="3" t="s">
        <v>9657</v>
      </c>
      <c r="AZ756" s="3" t="s">
        <v>75</v>
      </c>
      <c r="BB756" s="3" t="s">
        <v>9658</v>
      </c>
      <c r="BC756" s="3" t="s">
        <v>9659</v>
      </c>
      <c r="BD756" s="3" t="s">
        <v>9660</v>
      </c>
    </row>
    <row r="757" spans="1:56" ht="39" customHeight="1" x14ac:dyDescent="0.25">
      <c r="A757" s="7" t="s">
        <v>58</v>
      </c>
      <c r="B757" s="2" t="s">
        <v>9661</v>
      </c>
      <c r="C757" s="2" t="s">
        <v>9662</v>
      </c>
      <c r="D757" s="2" t="s">
        <v>9663</v>
      </c>
      <c r="F757" s="3" t="s">
        <v>58</v>
      </c>
      <c r="G757" s="3" t="s">
        <v>59</v>
      </c>
      <c r="H757" s="3" t="s">
        <v>58</v>
      </c>
      <c r="I757" s="3" t="s">
        <v>58</v>
      </c>
      <c r="J757" s="3" t="s">
        <v>60</v>
      </c>
      <c r="K757" s="2" t="s">
        <v>9664</v>
      </c>
      <c r="L757" s="2" t="s">
        <v>9665</v>
      </c>
      <c r="M757" s="3" t="s">
        <v>1289</v>
      </c>
      <c r="O757" s="3" t="s">
        <v>65</v>
      </c>
      <c r="P757" s="3" t="s">
        <v>346</v>
      </c>
      <c r="R757" s="3" t="s">
        <v>68</v>
      </c>
      <c r="S757" s="4">
        <v>1</v>
      </c>
      <c r="T757" s="4">
        <v>1</v>
      </c>
      <c r="U757" s="5" t="s">
        <v>5227</v>
      </c>
      <c r="V757" s="5" t="s">
        <v>5227</v>
      </c>
      <c r="W757" s="5" t="s">
        <v>5227</v>
      </c>
      <c r="X757" s="5" t="s">
        <v>5227</v>
      </c>
      <c r="Y757" s="4">
        <v>156</v>
      </c>
      <c r="Z757" s="4">
        <v>145</v>
      </c>
      <c r="AA757" s="4">
        <v>432</v>
      </c>
      <c r="AB757" s="4">
        <v>3</v>
      </c>
      <c r="AC757" s="4">
        <v>4</v>
      </c>
      <c r="AD757" s="4">
        <v>6</v>
      </c>
      <c r="AE757" s="4">
        <v>9</v>
      </c>
      <c r="AF757" s="4">
        <v>2</v>
      </c>
      <c r="AG757" s="4">
        <v>5</v>
      </c>
      <c r="AH757" s="4">
        <v>2</v>
      </c>
      <c r="AI757" s="4">
        <v>2</v>
      </c>
      <c r="AJ757" s="4">
        <v>2</v>
      </c>
      <c r="AK757" s="4">
        <v>2</v>
      </c>
      <c r="AL757" s="4">
        <v>2</v>
      </c>
      <c r="AM757" s="4">
        <v>2</v>
      </c>
      <c r="AN757" s="4">
        <v>0</v>
      </c>
      <c r="AO757" s="4">
        <v>0</v>
      </c>
      <c r="AP757" s="3" t="s">
        <v>58</v>
      </c>
      <c r="AQ757" s="3" t="s">
        <v>58</v>
      </c>
      <c r="AS757" s="6" t="str">
        <f>HYPERLINK("https://creighton-primo.hosted.exlibrisgroup.com/primo-explore/search?tab=default_tab&amp;search_scope=EVERYTHING&amp;vid=01CRU&amp;lang=en_US&amp;offset=0&amp;query=any,contains,991005079809702656","Catalog Record")</f>
        <v>Catalog Record</v>
      </c>
      <c r="AT757" s="6" t="str">
        <f>HYPERLINK("http://www.worldcat.org/oclc/52429448","WorldCat Record")</f>
        <v>WorldCat Record</v>
      </c>
      <c r="AU757" s="3" t="s">
        <v>9666</v>
      </c>
      <c r="AV757" s="3" t="s">
        <v>9667</v>
      </c>
      <c r="AW757" s="3" t="s">
        <v>9668</v>
      </c>
      <c r="AX757" s="3" t="s">
        <v>9668</v>
      </c>
      <c r="AY757" s="3" t="s">
        <v>9669</v>
      </c>
      <c r="AZ757" s="3" t="s">
        <v>75</v>
      </c>
      <c r="BB757" s="3" t="s">
        <v>9670</v>
      </c>
      <c r="BC757" s="3" t="s">
        <v>9671</v>
      </c>
      <c r="BD757" s="3" t="s">
        <v>9672</v>
      </c>
    </row>
    <row r="758" spans="1:56" ht="39" customHeight="1" x14ac:dyDescent="0.25">
      <c r="A758" s="7" t="s">
        <v>58</v>
      </c>
      <c r="B758" s="2" t="s">
        <v>9673</v>
      </c>
      <c r="C758" s="2" t="s">
        <v>9674</v>
      </c>
      <c r="D758" s="2" t="s">
        <v>9675</v>
      </c>
      <c r="F758" s="3" t="s">
        <v>58</v>
      </c>
      <c r="G758" s="3" t="s">
        <v>59</v>
      </c>
      <c r="H758" s="3" t="s">
        <v>58</v>
      </c>
      <c r="I758" s="3" t="s">
        <v>58</v>
      </c>
      <c r="J758" s="3" t="s">
        <v>60</v>
      </c>
      <c r="K758" s="2" t="s">
        <v>9676</v>
      </c>
      <c r="L758" s="2" t="s">
        <v>9398</v>
      </c>
      <c r="M758" s="3" t="s">
        <v>1723</v>
      </c>
      <c r="N758" s="2" t="s">
        <v>476</v>
      </c>
      <c r="O758" s="3" t="s">
        <v>65</v>
      </c>
      <c r="P758" s="3" t="s">
        <v>1724</v>
      </c>
      <c r="R758" s="3" t="s">
        <v>68</v>
      </c>
      <c r="S758" s="4">
        <v>2</v>
      </c>
      <c r="T758" s="4">
        <v>2</v>
      </c>
      <c r="U758" s="5" t="s">
        <v>9677</v>
      </c>
      <c r="V758" s="5" t="s">
        <v>9677</v>
      </c>
      <c r="W758" s="5" t="s">
        <v>9677</v>
      </c>
      <c r="X758" s="5" t="s">
        <v>9677</v>
      </c>
      <c r="Y758" s="4">
        <v>94</v>
      </c>
      <c r="Z758" s="4">
        <v>87</v>
      </c>
      <c r="AA758" s="4">
        <v>88</v>
      </c>
      <c r="AB758" s="4">
        <v>2</v>
      </c>
      <c r="AC758" s="4">
        <v>2</v>
      </c>
      <c r="AD758" s="4">
        <v>5</v>
      </c>
      <c r="AE758" s="4">
        <v>5</v>
      </c>
      <c r="AF758" s="4">
        <v>2</v>
      </c>
      <c r="AG758" s="4">
        <v>2</v>
      </c>
      <c r="AH758" s="4">
        <v>1</v>
      </c>
      <c r="AI758" s="4">
        <v>1</v>
      </c>
      <c r="AJ758" s="4">
        <v>3</v>
      </c>
      <c r="AK758" s="4">
        <v>3</v>
      </c>
      <c r="AL758" s="4">
        <v>1</v>
      </c>
      <c r="AM758" s="4">
        <v>1</v>
      </c>
      <c r="AN758" s="4">
        <v>0</v>
      </c>
      <c r="AO758" s="4">
        <v>0</v>
      </c>
      <c r="AP758" s="3" t="s">
        <v>58</v>
      </c>
      <c r="AQ758" s="3" t="s">
        <v>58</v>
      </c>
      <c r="AS758" s="6" t="str">
        <f>HYPERLINK("https://creighton-primo.hosted.exlibrisgroup.com/primo-explore/search?tab=default_tab&amp;search_scope=EVERYTHING&amp;vid=01CRU&amp;lang=en_US&amp;offset=0&amp;query=any,contains,991004286679702656","Catalog Record")</f>
        <v>Catalog Record</v>
      </c>
      <c r="AT758" s="6" t="str">
        <f>HYPERLINK("http://www.worldcat.org/oclc/44669760","WorldCat Record")</f>
        <v>WorldCat Record</v>
      </c>
      <c r="AU758" s="3" t="s">
        <v>9678</v>
      </c>
      <c r="AV758" s="3" t="s">
        <v>9679</v>
      </c>
      <c r="AW758" s="3" t="s">
        <v>9680</v>
      </c>
      <c r="AX758" s="3" t="s">
        <v>9680</v>
      </c>
      <c r="AY758" s="3" t="s">
        <v>9681</v>
      </c>
      <c r="AZ758" s="3" t="s">
        <v>75</v>
      </c>
      <c r="BB758" s="3" t="s">
        <v>9682</v>
      </c>
      <c r="BC758" s="3" t="s">
        <v>9683</v>
      </c>
      <c r="BD758" s="3" t="s">
        <v>9684</v>
      </c>
    </row>
    <row r="759" spans="1:56" ht="39" customHeight="1" x14ac:dyDescent="0.25">
      <c r="A759" s="7" t="s">
        <v>58</v>
      </c>
      <c r="B759" s="2" t="s">
        <v>9685</v>
      </c>
      <c r="C759" s="2" t="s">
        <v>9686</v>
      </c>
      <c r="D759" s="2" t="s">
        <v>9687</v>
      </c>
      <c r="F759" s="3" t="s">
        <v>58</v>
      </c>
      <c r="G759" s="3" t="s">
        <v>59</v>
      </c>
      <c r="H759" s="3" t="s">
        <v>58</v>
      </c>
      <c r="I759" s="3" t="s">
        <v>58</v>
      </c>
      <c r="J759" s="3" t="s">
        <v>60</v>
      </c>
      <c r="K759" s="2" t="s">
        <v>9688</v>
      </c>
      <c r="L759" s="2" t="s">
        <v>9689</v>
      </c>
      <c r="M759" s="3" t="s">
        <v>709</v>
      </c>
      <c r="O759" s="3" t="s">
        <v>65</v>
      </c>
      <c r="P759" s="3" t="s">
        <v>346</v>
      </c>
      <c r="Q759" s="2" t="s">
        <v>9690</v>
      </c>
      <c r="R759" s="3" t="s">
        <v>68</v>
      </c>
      <c r="S759" s="4">
        <v>5</v>
      </c>
      <c r="T759" s="4">
        <v>5</v>
      </c>
      <c r="U759" s="5" t="s">
        <v>9691</v>
      </c>
      <c r="V759" s="5" t="s">
        <v>9691</v>
      </c>
      <c r="W759" s="5" t="s">
        <v>5214</v>
      </c>
      <c r="X759" s="5" t="s">
        <v>5214</v>
      </c>
      <c r="Y759" s="4">
        <v>63</v>
      </c>
      <c r="Z759" s="4">
        <v>57</v>
      </c>
      <c r="AA759" s="4">
        <v>57</v>
      </c>
      <c r="AB759" s="4">
        <v>1</v>
      </c>
      <c r="AC759" s="4">
        <v>1</v>
      </c>
      <c r="AD759" s="4">
        <v>2</v>
      </c>
      <c r="AE759" s="4">
        <v>2</v>
      </c>
      <c r="AF759" s="4">
        <v>2</v>
      </c>
      <c r="AG759" s="4">
        <v>2</v>
      </c>
      <c r="AH759" s="4">
        <v>0</v>
      </c>
      <c r="AI759" s="4">
        <v>0</v>
      </c>
      <c r="AJ759" s="4">
        <v>0</v>
      </c>
      <c r="AK759" s="4">
        <v>0</v>
      </c>
      <c r="AL759" s="4">
        <v>0</v>
      </c>
      <c r="AM759" s="4">
        <v>0</v>
      </c>
      <c r="AN759" s="4">
        <v>0</v>
      </c>
      <c r="AO759" s="4">
        <v>0</v>
      </c>
      <c r="AP759" s="3" t="s">
        <v>58</v>
      </c>
      <c r="AQ759" s="3" t="s">
        <v>58</v>
      </c>
      <c r="AS759" s="6" t="str">
        <f>HYPERLINK("https://creighton-primo.hosted.exlibrisgroup.com/primo-explore/search?tab=default_tab&amp;search_scope=EVERYTHING&amp;vid=01CRU&amp;lang=en_US&amp;offset=0&amp;query=any,contains,991005079619702656","Catalog Record")</f>
        <v>Catalog Record</v>
      </c>
      <c r="AT759" s="6" t="str">
        <f>HYPERLINK("http://www.worldcat.org/oclc/20524610","WorldCat Record")</f>
        <v>WorldCat Record</v>
      </c>
      <c r="AU759" s="3" t="s">
        <v>9692</v>
      </c>
      <c r="AV759" s="3" t="s">
        <v>9693</v>
      </c>
      <c r="AW759" s="3" t="s">
        <v>9694</v>
      </c>
      <c r="AX759" s="3" t="s">
        <v>9694</v>
      </c>
      <c r="AY759" s="3" t="s">
        <v>9695</v>
      </c>
      <c r="AZ759" s="3" t="s">
        <v>75</v>
      </c>
      <c r="BB759" s="3" t="s">
        <v>9696</v>
      </c>
      <c r="BC759" s="3" t="s">
        <v>9697</v>
      </c>
      <c r="BD759" s="3" t="s">
        <v>9698</v>
      </c>
    </row>
    <row r="760" spans="1:56" ht="39" customHeight="1" x14ac:dyDescent="0.25">
      <c r="A760" s="7" t="s">
        <v>58</v>
      </c>
      <c r="B760" s="2" t="s">
        <v>9699</v>
      </c>
      <c r="C760" s="2" t="s">
        <v>9700</v>
      </c>
      <c r="D760" s="2" t="s">
        <v>9701</v>
      </c>
      <c r="F760" s="3" t="s">
        <v>58</v>
      </c>
      <c r="G760" s="3" t="s">
        <v>59</v>
      </c>
      <c r="H760" s="3" t="s">
        <v>58</v>
      </c>
      <c r="I760" s="3" t="s">
        <v>58</v>
      </c>
      <c r="J760" s="3" t="s">
        <v>60</v>
      </c>
      <c r="K760" s="2" t="s">
        <v>9702</v>
      </c>
      <c r="L760" s="2" t="s">
        <v>9703</v>
      </c>
      <c r="M760" s="3" t="s">
        <v>1150</v>
      </c>
      <c r="N760" s="2" t="s">
        <v>476</v>
      </c>
      <c r="O760" s="3" t="s">
        <v>65</v>
      </c>
      <c r="P760" s="3" t="s">
        <v>186</v>
      </c>
      <c r="R760" s="3" t="s">
        <v>68</v>
      </c>
      <c r="S760" s="4">
        <v>4</v>
      </c>
      <c r="T760" s="4">
        <v>4</v>
      </c>
      <c r="U760" s="5" t="s">
        <v>9691</v>
      </c>
      <c r="V760" s="5" t="s">
        <v>9691</v>
      </c>
      <c r="W760" s="5" t="s">
        <v>9704</v>
      </c>
      <c r="X760" s="5" t="s">
        <v>9704</v>
      </c>
      <c r="Y760" s="4">
        <v>579</v>
      </c>
      <c r="Z760" s="4">
        <v>529</v>
      </c>
      <c r="AA760" s="4">
        <v>567</v>
      </c>
      <c r="AB760" s="4">
        <v>4</v>
      </c>
      <c r="AC760" s="4">
        <v>4</v>
      </c>
      <c r="AD760" s="4">
        <v>5</v>
      </c>
      <c r="AE760" s="4">
        <v>7</v>
      </c>
      <c r="AF760" s="4">
        <v>1</v>
      </c>
      <c r="AG760" s="4">
        <v>2</v>
      </c>
      <c r="AH760" s="4">
        <v>1</v>
      </c>
      <c r="AI760" s="4">
        <v>2</v>
      </c>
      <c r="AJ760" s="4">
        <v>2</v>
      </c>
      <c r="AK760" s="4">
        <v>2</v>
      </c>
      <c r="AL760" s="4">
        <v>1</v>
      </c>
      <c r="AM760" s="4">
        <v>1</v>
      </c>
      <c r="AN760" s="4">
        <v>0</v>
      </c>
      <c r="AO760" s="4">
        <v>0</v>
      </c>
      <c r="AP760" s="3" t="s">
        <v>58</v>
      </c>
      <c r="AQ760" s="3" t="s">
        <v>132</v>
      </c>
      <c r="AR760" s="6" t="str">
        <f>HYPERLINK("http://catalog.hathitrust.org/Record/010693280","HathiTrust Record")</f>
        <v>HathiTrust Record</v>
      </c>
      <c r="AS760" s="6" t="str">
        <f>HYPERLINK("https://creighton-primo.hosted.exlibrisgroup.com/primo-explore/search?tab=default_tab&amp;search_scope=EVERYTHING&amp;vid=01CRU&amp;lang=en_US&amp;offset=0&amp;query=any,contains,991002604779702656","Catalog Record")</f>
        <v>Catalog Record</v>
      </c>
      <c r="AT760" s="6" t="str">
        <f>HYPERLINK("http://www.worldcat.org/oclc/34116156","WorldCat Record")</f>
        <v>WorldCat Record</v>
      </c>
      <c r="AU760" s="3" t="s">
        <v>9705</v>
      </c>
      <c r="AV760" s="3" t="s">
        <v>9706</v>
      </c>
      <c r="AW760" s="3" t="s">
        <v>9707</v>
      </c>
      <c r="AX760" s="3" t="s">
        <v>9707</v>
      </c>
      <c r="AY760" s="3" t="s">
        <v>9708</v>
      </c>
      <c r="AZ760" s="3" t="s">
        <v>75</v>
      </c>
      <c r="BB760" s="3" t="s">
        <v>9709</v>
      </c>
      <c r="BC760" s="3" t="s">
        <v>9710</v>
      </c>
      <c r="BD760" s="3" t="s">
        <v>9711</v>
      </c>
    </row>
    <row r="761" spans="1:56" ht="39" customHeight="1" x14ac:dyDescent="0.25">
      <c r="A761" s="7" t="s">
        <v>58</v>
      </c>
      <c r="B761" s="2" t="s">
        <v>9712</v>
      </c>
      <c r="C761" s="2" t="s">
        <v>9713</v>
      </c>
      <c r="D761" s="2" t="s">
        <v>9714</v>
      </c>
      <c r="F761" s="3" t="s">
        <v>58</v>
      </c>
      <c r="G761" s="3" t="s">
        <v>59</v>
      </c>
      <c r="H761" s="3" t="s">
        <v>58</v>
      </c>
      <c r="I761" s="3" t="s">
        <v>58</v>
      </c>
      <c r="J761" s="3" t="s">
        <v>60</v>
      </c>
      <c r="K761" s="2" t="s">
        <v>9715</v>
      </c>
      <c r="L761" s="2" t="s">
        <v>9716</v>
      </c>
      <c r="M761" s="3" t="s">
        <v>1289</v>
      </c>
      <c r="O761" s="3" t="s">
        <v>65</v>
      </c>
      <c r="P761" s="3" t="s">
        <v>186</v>
      </c>
      <c r="R761" s="3" t="s">
        <v>68</v>
      </c>
      <c r="S761" s="4">
        <v>8</v>
      </c>
      <c r="T761" s="4">
        <v>8</v>
      </c>
      <c r="U761" s="5" t="s">
        <v>9717</v>
      </c>
      <c r="V761" s="5" t="s">
        <v>9717</v>
      </c>
      <c r="W761" s="5" t="s">
        <v>9718</v>
      </c>
      <c r="X761" s="5" t="s">
        <v>9718</v>
      </c>
      <c r="Y761" s="4">
        <v>83</v>
      </c>
      <c r="Z761" s="4">
        <v>76</v>
      </c>
      <c r="AA761" s="4">
        <v>81</v>
      </c>
      <c r="AB761" s="4">
        <v>1</v>
      </c>
      <c r="AC761" s="4">
        <v>1</v>
      </c>
      <c r="AD761" s="4">
        <v>5</v>
      </c>
      <c r="AE761" s="4">
        <v>5</v>
      </c>
      <c r="AF761" s="4">
        <v>1</v>
      </c>
      <c r="AG761" s="4">
        <v>1</v>
      </c>
      <c r="AH761" s="4">
        <v>2</v>
      </c>
      <c r="AI761" s="4">
        <v>2</v>
      </c>
      <c r="AJ761" s="4">
        <v>4</v>
      </c>
      <c r="AK761" s="4">
        <v>4</v>
      </c>
      <c r="AL761" s="4">
        <v>0</v>
      </c>
      <c r="AM761" s="4">
        <v>0</v>
      </c>
      <c r="AN761" s="4">
        <v>0</v>
      </c>
      <c r="AO761" s="4">
        <v>0</v>
      </c>
      <c r="AP761" s="3" t="s">
        <v>58</v>
      </c>
      <c r="AQ761" s="3" t="s">
        <v>58</v>
      </c>
      <c r="AS761" s="6" t="str">
        <f>HYPERLINK("https://creighton-primo.hosted.exlibrisgroup.com/primo-explore/search?tab=default_tab&amp;search_scope=EVERYTHING&amp;vid=01CRU&amp;lang=en_US&amp;offset=0&amp;query=any,contains,991004286709702656","Catalog Record")</f>
        <v>Catalog Record</v>
      </c>
      <c r="AT761" s="6" t="str">
        <f>HYPERLINK("http://www.worldcat.org/oclc/52134779","WorldCat Record")</f>
        <v>WorldCat Record</v>
      </c>
      <c r="AU761" s="3" t="s">
        <v>9719</v>
      </c>
      <c r="AV761" s="3" t="s">
        <v>9720</v>
      </c>
      <c r="AW761" s="3" t="s">
        <v>9721</v>
      </c>
      <c r="AX761" s="3" t="s">
        <v>9721</v>
      </c>
      <c r="AY761" s="3" t="s">
        <v>9722</v>
      </c>
      <c r="AZ761" s="3" t="s">
        <v>75</v>
      </c>
      <c r="BB761" s="3" t="s">
        <v>9723</v>
      </c>
      <c r="BC761" s="3" t="s">
        <v>9724</v>
      </c>
      <c r="BD761" s="3" t="s">
        <v>9725</v>
      </c>
    </row>
    <row r="762" spans="1:56" ht="39" customHeight="1" x14ac:dyDescent="0.25">
      <c r="A762" s="7" t="s">
        <v>58</v>
      </c>
      <c r="B762" s="2" t="s">
        <v>9726</v>
      </c>
      <c r="C762" s="2" t="s">
        <v>9727</v>
      </c>
      <c r="D762" s="2" t="s">
        <v>9728</v>
      </c>
      <c r="F762" s="3" t="s">
        <v>58</v>
      </c>
      <c r="G762" s="3" t="s">
        <v>59</v>
      </c>
      <c r="H762" s="3" t="s">
        <v>58</v>
      </c>
      <c r="I762" s="3" t="s">
        <v>58</v>
      </c>
      <c r="J762" s="3" t="s">
        <v>60</v>
      </c>
      <c r="K762" s="2" t="s">
        <v>9729</v>
      </c>
      <c r="L762" s="2" t="s">
        <v>9730</v>
      </c>
      <c r="M762" s="3" t="s">
        <v>1150</v>
      </c>
      <c r="O762" s="3" t="s">
        <v>65</v>
      </c>
      <c r="P762" s="3" t="s">
        <v>4425</v>
      </c>
      <c r="R762" s="3" t="s">
        <v>68</v>
      </c>
      <c r="S762" s="4">
        <v>3</v>
      </c>
      <c r="T762" s="4">
        <v>3</v>
      </c>
      <c r="U762" s="5" t="s">
        <v>9731</v>
      </c>
      <c r="V762" s="5" t="s">
        <v>9731</v>
      </c>
      <c r="W762" s="5" t="s">
        <v>9732</v>
      </c>
      <c r="X762" s="5" t="s">
        <v>9732</v>
      </c>
      <c r="Y762" s="4">
        <v>245</v>
      </c>
      <c r="Z762" s="4">
        <v>199</v>
      </c>
      <c r="AA762" s="4">
        <v>254</v>
      </c>
      <c r="AB762" s="4">
        <v>3</v>
      </c>
      <c r="AC762" s="4">
        <v>4</v>
      </c>
      <c r="AD762" s="4">
        <v>15</v>
      </c>
      <c r="AE762" s="4">
        <v>22</v>
      </c>
      <c r="AF762" s="4">
        <v>4</v>
      </c>
      <c r="AG762" s="4">
        <v>9</v>
      </c>
      <c r="AH762" s="4">
        <v>4</v>
      </c>
      <c r="AI762" s="4">
        <v>5</v>
      </c>
      <c r="AJ762" s="4">
        <v>8</v>
      </c>
      <c r="AK762" s="4">
        <v>9</v>
      </c>
      <c r="AL762" s="4">
        <v>2</v>
      </c>
      <c r="AM762" s="4">
        <v>3</v>
      </c>
      <c r="AN762" s="4">
        <v>0</v>
      </c>
      <c r="AO762" s="4">
        <v>0</v>
      </c>
      <c r="AP762" s="3" t="s">
        <v>58</v>
      </c>
      <c r="AQ762" s="3" t="s">
        <v>132</v>
      </c>
      <c r="AR762" s="6" t="str">
        <f>HYPERLINK("http://catalog.hathitrust.org/Record/003116453","HathiTrust Record")</f>
        <v>HathiTrust Record</v>
      </c>
      <c r="AS762" s="6" t="str">
        <f>HYPERLINK("https://creighton-primo.hosted.exlibrisgroup.com/primo-explore/search?tab=default_tab&amp;search_scope=EVERYTHING&amp;vid=01CRU&amp;lang=en_US&amp;offset=0&amp;query=any,contains,991002742299702656","Catalog Record")</f>
        <v>Catalog Record</v>
      </c>
      <c r="AT762" s="6" t="str">
        <f>HYPERLINK("http://www.worldcat.org/oclc/36008871","WorldCat Record")</f>
        <v>WorldCat Record</v>
      </c>
      <c r="AU762" s="3" t="s">
        <v>9733</v>
      </c>
      <c r="AV762" s="3" t="s">
        <v>9734</v>
      </c>
      <c r="AW762" s="3" t="s">
        <v>9735</v>
      </c>
      <c r="AX762" s="3" t="s">
        <v>9735</v>
      </c>
      <c r="AY762" s="3" t="s">
        <v>9736</v>
      </c>
      <c r="AZ762" s="3" t="s">
        <v>75</v>
      </c>
      <c r="BB762" s="3" t="s">
        <v>9737</v>
      </c>
      <c r="BC762" s="3" t="s">
        <v>9738</v>
      </c>
      <c r="BD762" s="3" t="s">
        <v>9739</v>
      </c>
    </row>
    <row r="763" spans="1:56" ht="39" customHeight="1" x14ac:dyDescent="0.25">
      <c r="A763" s="7" t="s">
        <v>58</v>
      </c>
      <c r="B763" s="2" t="s">
        <v>9740</v>
      </c>
      <c r="C763" s="2" t="s">
        <v>9741</v>
      </c>
      <c r="D763" s="2" t="s">
        <v>9742</v>
      </c>
      <c r="F763" s="3" t="s">
        <v>58</v>
      </c>
      <c r="G763" s="3" t="s">
        <v>59</v>
      </c>
      <c r="H763" s="3" t="s">
        <v>58</v>
      </c>
      <c r="I763" s="3" t="s">
        <v>58</v>
      </c>
      <c r="J763" s="3" t="s">
        <v>60</v>
      </c>
      <c r="K763" s="2" t="s">
        <v>9743</v>
      </c>
      <c r="L763" s="2" t="s">
        <v>9744</v>
      </c>
      <c r="M763" s="3" t="s">
        <v>3920</v>
      </c>
      <c r="O763" s="3" t="s">
        <v>65</v>
      </c>
      <c r="P763" s="3" t="s">
        <v>158</v>
      </c>
      <c r="R763" s="3" t="s">
        <v>68</v>
      </c>
      <c r="S763" s="4">
        <v>5</v>
      </c>
      <c r="T763" s="4">
        <v>5</v>
      </c>
      <c r="U763" s="5" t="s">
        <v>9745</v>
      </c>
      <c r="V763" s="5" t="s">
        <v>9745</v>
      </c>
      <c r="W763" s="5" t="s">
        <v>5279</v>
      </c>
      <c r="X763" s="5" t="s">
        <v>5279</v>
      </c>
      <c r="Y763" s="4">
        <v>150</v>
      </c>
      <c r="Z763" s="4">
        <v>137</v>
      </c>
      <c r="AA763" s="4">
        <v>143</v>
      </c>
      <c r="AB763" s="4">
        <v>1</v>
      </c>
      <c r="AC763" s="4">
        <v>1</v>
      </c>
      <c r="AD763" s="4">
        <v>5</v>
      </c>
      <c r="AE763" s="4">
        <v>6</v>
      </c>
      <c r="AF763" s="4">
        <v>2</v>
      </c>
      <c r="AG763" s="4">
        <v>3</v>
      </c>
      <c r="AH763" s="4">
        <v>1</v>
      </c>
      <c r="AI763" s="4">
        <v>2</v>
      </c>
      <c r="AJ763" s="4">
        <v>3</v>
      </c>
      <c r="AK763" s="4">
        <v>3</v>
      </c>
      <c r="AL763" s="4">
        <v>0</v>
      </c>
      <c r="AM763" s="4">
        <v>0</v>
      </c>
      <c r="AN763" s="4">
        <v>0</v>
      </c>
      <c r="AO763" s="4">
        <v>0</v>
      </c>
      <c r="AP763" s="3" t="s">
        <v>58</v>
      </c>
      <c r="AQ763" s="3" t="s">
        <v>58</v>
      </c>
      <c r="AS763" s="6" t="str">
        <f>HYPERLINK("https://creighton-primo.hosted.exlibrisgroup.com/primo-explore/search?tab=default_tab&amp;search_scope=EVERYTHING&amp;vid=01CRU&amp;lang=en_US&amp;offset=0&amp;query=any,contains,991004780829702656","Catalog Record")</f>
        <v>Catalog Record</v>
      </c>
      <c r="AT763" s="6" t="str">
        <f>HYPERLINK("http://www.worldcat.org/oclc/56834650","WorldCat Record")</f>
        <v>WorldCat Record</v>
      </c>
      <c r="AU763" s="3" t="s">
        <v>9746</v>
      </c>
      <c r="AV763" s="3" t="s">
        <v>9747</v>
      </c>
      <c r="AW763" s="3" t="s">
        <v>9748</v>
      </c>
      <c r="AX763" s="3" t="s">
        <v>9748</v>
      </c>
      <c r="AY763" s="3" t="s">
        <v>9749</v>
      </c>
      <c r="AZ763" s="3" t="s">
        <v>75</v>
      </c>
      <c r="BB763" s="3" t="s">
        <v>9750</v>
      </c>
      <c r="BC763" s="3" t="s">
        <v>9751</v>
      </c>
      <c r="BD763" s="3" t="s">
        <v>9752</v>
      </c>
    </row>
    <row r="764" spans="1:56" ht="39" customHeight="1" x14ac:dyDescent="0.25">
      <c r="A764" s="7" t="s">
        <v>58</v>
      </c>
      <c r="B764" s="2" t="s">
        <v>9753</v>
      </c>
      <c r="C764" s="2" t="s">
        <v>9754</v>
      </c>
      <c r="D764" s="2" t="s">
        <v>9755</v>
      </c>
      <c r="F764" s="3" t="s">
        <v>58</v>
      </c>
      <c r="G764" s="3" t="s">
        <v>59</v>
      </c>
      <c r="H764" s="3" t="s">
        <v>58</v>
      </c>
      <c r="I764" s="3" t="s">
        <v>58</v>
      </c>
      <c r="J764" s="3" t="s">
        <v>60</v>
      </c>
      <c r="K764" s="2" t="s">
        <v>9756</v>
      </c>
      <c r="L764" s="2" t="s">
        <v>9757</v>
      </c>
      <c r="M764" s="3" t="s">
        <v>172</v>
      </c>
      <c r="O764" s="3" t="s">
        <v>65</v>
      </c>
      <c r="P764" s="3" t="s">
        <v>186</v>
      </c>
      <c r="R764" s="3" t="s">
        <v>68</v>
      </c>
      <c r="S764" s="4">
        <v>1</v>
      </c>
      <c r="T764" s="4">
        <v>1</v>
      </c>
      <c r="U764" s="5" t="s">
        <v>9758</v>
      </c>
      <c r="V764" s="5" t="s">
        <v>9758</v>
      </c>
      <c r="W764" s="5" t="s">
        <v>9759</v>
      </c>
      <c r="X764" s="5" t="s">
        <v>9759</v>
      </c>
      <c r="Y764" s="4">
        <v>52</v>
      </c>
      <c r="Z764" s="4">
        <v>51</v>
      </c>
      <c r="AA764" s="4">
        <v>52</v>
      </c>
      <c r="AB764" s="4">
        <v>2</v>
      </c>
      <c r="AC764" s="4">
        <v>2</v>
      </c>
      <c r="AD764" s="4">
        <v>4</v>
      </c>
      <c r="AE764" s="4">
        <v>4</v>
      </c>
      <c r="AF764" s="4">
        <v>0</v>
      </c>
      <c r="AG764" s="4">
        <v>0</v>
      </c>
      <c r="AH764" s="4">
        <v>1</v>
      </c>
      <c r="AI764" s="4">
        <v>1</v>
      </c>
      <c r="AJ764" s="4">
        <v>3</v>
      </c>
      <c r="AK764" s="4">
        <v>3</v>
      </c>
      <c r="AL764" s="4">
        <v>0</v>
      </c>
      <c r="AM764" s="4">
        <v>0</v>
      </c>
      <c r="AN764" s="4">
        <v>0</v>
      </c>
      <c r="AO764" s="4">
        <v>0</v>
      </c>
      <c r="AP764" s="3" t="s">
        <v>58</v>
      </c>
      <c r="AQ764" s="3" t="s">
        <v>58</v>
      </c>
      <c r="AS764" s="6" t="str">
        <f>HYPERLINK("https://creighton-primo.hosted.exlibrisgroup.com/primo-explore/search?tab=default_tab&amp;search_scope=EVERYTHING&amp;vid=01CRU&amp;lang=en_US&amp;offset=0&amp;query=any,contains,991002897889702656","Catalog Record")</f>
        <v>Catalog Record</v>
      </c>
      <c r="AT764" s="6" t="str">
        <f>HYPERLINK("http://www.worldcat.org/oclc/514846","WorldCat Record")</f>
        <v>WorldCat Record</v>
      </c>
      <c r="AU764" s="3" t="s">
        <v>9760</v>
      </c>
      <c r="AV764" s="3" t="s">
        <v>9761</v>
      </c>
      <c r="AW764" s="3" t="s">
        <v>9762</v>
      </c>
      <c r="AX764" s="3" t="s">
        <v>9762</v>
      </c>
      <c r="AY764" s="3" t="s">
        <v>9763</v>
      </c>
      <c r="AZ764" s="3" t="s">
        <v>75</v>
      </c>
      <c r="BC764" s="3" t="s">
        <v>9764</v>
      </c>
      <c r="BD764" s="3" t="s">
        <v>9765</v>
      </c>
    </row>
    <row r="765" spans="1:56" ht="39" customHeight="1" x14ac:dyDescent="0.25">
      <c r="A765" s="7" t="s">
        <v>58</v>
      </c>
      <c r="B765" s="2" t="s">
        <v>9766</v>
      </c>
      <c r="C765" s="2" t="s">
        <v>9767</v>
      </c>
      <c r="D765" s="2" t="s">
        <v>9768</v>
      </c>
      <c r="F765" s="3" t="s">
        <v>58</v>
      </c>
      <c r="G765" s="3" t="s">
        <v>59</v>
      </c>
      <c r="H765" s="3" t="s">
        <v>58</v>
      </c>
      <c r="I765" s="3" t="s">
        <v>58</v>
      </c>
      <c r="J765" s="3" t="s">
        <v>60</v>
      </c>
      <c r="K765" s="2" t="s">
        <v>9769</v>
      </c>
      <c r="L765" s="2" t="s">
        <v>1660</v>
      </c>
      <c r="M765" s="3" t="s">
        <v>144</v>
      </c>
      <c r="O765" s="3" t="s">
        <v>65</v>
      </c>
      <c r="P765" s="3" t="s">
        <v>186</v>
      </c>
      <c r="R765" s="3" t="s">
        <v>68</v>
      </c>
      <c r="S765" s="4">
        <v>4</v>
      </c>
      <c r="T765" s="4">
        <v>4</v>
      </c>
      <c r="U765" s="5" t="s">
        <v>9770</v>
      </c>
      <c r="V765" s="5" t="s">
        <v>9770</v>
      </c>
      <c r="W765" s="5" t="s">
        <v>9771</v>
      </c>
      <c r="X765" s="5" t="s">
        <v>9771</v>
      </c>
      <c r="Y765" s="4">
        <v>111</v>
      </c>
      <c r="Z765" s="4">
        <v>105</v>
      </c>
      <c r="AA765" s="4">
        <v>123</v>
      </c>
      <c r="AB765" s="4">
        <v>1</v>
      </c>
      <c r="AC765" s="4">
        <v>1</v>
      </c>
      <c r="AD765" s="4">
        <v>5</v>
      </c>
      <c r="AE765" s="4">
        <v>5</v>
      </c>
      <c r="AF765" s="4">
        <v>4</v>
      </c>
      <c r="AG765" s="4">
        <v>4</v>
      </c>
      <c r="AH765" s="4">
        <v>0</v>
      </c>
      <c r="AI765" s="4">
        <v>0</v>
      </c>
      <c r="AJ765" s="4">
        <v>3</v>
      </c>
      <c r="AK765" s="4">
        <v>3</v>
      </c>
      <c r="AL765" s="4">
        <v>0</v>
      </c>
      <c r="AM765" s="4">
        <v>0</v>
      </c>
      <c r="AN765" s="4">
        <v>0</v>
      </c>
      <c r="AO765" s="4">
        <v>0</v>
      </c>
      <c r="AP765" s="3" t="s">
        <v>58</v>
      </c>
      <c r="AQ765" s="3" t="s">
        <v>132</v>
      </c>
      <c r="AR765" s="6" t="str">
        <f>HYPERLINK("http://catalog.hathitrust.org/Record/004509101","HathiTrust Record")</f>
        <v>HathiTrust Record</v>
      </c>
      <c r="AS765" s="6" t="str">
        <f>HYPERLINK("https://creighton-primo.hosted.exlibrisgroup.com/primo-explore/search?tab=default_tab&amp;search_scope=EVERYTHING&amp;vid=01CRU&amp;lang=en_US&amp;offset=0&amp;query=any,contains,991004428709702656","Catalog Record")</f>
        <v>Catalog Record</v>
      </c>
      <c r="AT765" s="6" t="str">
        <f>HYPERLINK("http://www.worldcat.org/oclc/3414289","WorldCat Record")</f>
        <v>WorldCat Record</v>
      </c>
      <c r="AU765" s="3" t="s">
        <v>9772</v>
      </c>
      <c r="AV765" s="3" t="s">
        <v>9773</v>
      </c>
      <c r="AW765" s="3" t="s">
        <v>9774</v>
      </c>
      <c r="AX765" s="3" t="s">
        <v>9774</v>
      </c>
      <c r="AY765" s="3" t="s">
        <v>9775</v>
      </c>
      <c r="AZ765" s="3" t="s">
        <v>75</v>
      </c>
      <c r="BB765" s="3" t="s">
        <v>9776</v>
      </c>
      <c r="BC765" s="3" t="s">
        <v>9777</v>
      </c>
      <c r="BD765" s="3" t="s">
        <v>9778</v>
      </c>
    </row>
    <row r="766" spans="1:56" ht="39" customHeight="1" x14ac:dyDescent="0.25">
      <c r="A766" s="7" t="s">
        <v>58</v>
      </c>
      <c r="B766" s="2" t="s">
        <v>9779</v>
      </c>
      <c r="C766" s="2" t="s">
        <v>9780</v>
      </c>
      <c r="D766" s="2" t="s">
        <v>9781</v>
      </c>
      <c r="F766" s="3" t="s">
        <v>58</v>
      </c>
      <c r="G766" s="3" t="s">
        <v>59</v>
      </c>
      <c r="H766" s="3" t="s">
        <v>58</v>
      </c>
      <c r="I766" s="3" t="s">
        <v>58</v>
      </c>
      <c r="J766" s="3" t="s">
        <v>60</v>
      </c>
      <c r="K766" s="2" t="s">
        <v>9782</v>
      </c>
      <c r="L766" s="2" t="s">
        <v>9783</v>
      </c>
      <c r="M766" s="3" t="s">
        <v>427</v>
      </c>
      <c r="O766" s="3" t="s">
        <v>65</v>
      </c>
      <c r="P766" s="3" t="s">
        <v>492</v>
      </c>
      <c r="R766" s="3" t="s">
        <v>68</v>
      </c>
      <c r="S766" s="4">
        <v>4</v>
      </c>
      <c r="T766" s="4">
        <v>4</v>
      </c>
      <c r="U766" s="5" t="s">
        <v>9784</v>
      </c>
      <c r="V766" s="5" t="s">
        <v>9784</v>
      </c>
      <c r="W766" s="5" t="s">
        <v>9759</v>
      </c>
      <c r="X766" s="5" t="s">
        <v>9759</v>
      </c>
      <c r="Y766" s="4">
        <v>154</v>
      </c>
      <c r="Z766" s="4">
        <v>108</v>
      </c>
      <c r="AA766" s="4">
        <v>194</v>
      </c>
      <c r="AB766" s="4">
        <v>2</v>
      </c>
      <c r="AC766" s="4">
        <v>3</v>
      </c>
      <c r="AD766" s="4">
        <v>9</v>
      </c>
      <c r="AE766" s="4">
        <v>14</v>
      </c>
      <c r="AF766" s="4">
        <v>2</v>
      </c>
      <c r="AG766" s="4">
        <v>3</v>
      </c>
      <c r="AH766" s="4">
        <v>1</v>
      </c>
      <c r="AI766" s="4">
        <v>3</v>
      </c>
      <c r="AJ766" s="4">
        <v>8</v>
      </c>
      <c r="AK766" s="4">
        <v>10</v>
      </c>
      <c r="AL766" s="4">
        <v>0</v>
      </c>
      <c r="AM766" s="4">
        <v>1</v>
      </c>
      <c r="AN766" s="4">
        <v>0</v>
      </c>
      <c r="AO766" s="4">
        <v>0</v>
      </c>
      <c r="AP766" s="3" t="s">
        <v>58</v>
      </c>
      <c r="AQ766" s="3" t="s">
        <v>58</v>
      </c>
      <c r="AS766" s="6" t="str">
        <f>HYPERLINK("https://creighton-primo.hosted.exlibrisgroup.com/primo-explore/search?tab=default_tab&amp;search_scope=EVERYTHING&amp;vid=01CRU&amp;lang=en_US&amp;offset=0&amp;query=any,contains,991004843659702656","Catalog Record")</f>
        <v>Catalog Record</v>
      </c>
      <c r="AT766" s="6" t="str">
        <f>HYPERLINK("http://www.worldcat.org/oclc/13949529","WorldCat Record")</f>
        <v>WorldCat Record</v>
      </c>
      <c r="AU766" s="3" t="s">
        <v>9785</v>
      </c>
      <c r="AV766" s="3" t="s">
        <v>9786</v>
      </c>
      <c r="AW766" s="3" t="s">
        <v>9787</v>
      </c>
      <c r="AX766" s="3" t="s">
        <v>9787</v>
      </c>
      <c r="AY766" s="3" t="s">
        <v>9788</v>
      </c>
      <c r="AZ766" s="3" t="s">
        <v>75</v>
      </c>
      <c r="BB766" s="3" t="s">
        <v>9789</v>
      </c>
      <c r="BC766" s="3" t="s">
        <v>9790</v>
      </c>
      <c r="BD766" s="3" t="s">
        <v>9791</v>
      </c>
    </row>
    <row r="767" spans="1:56" ht="39" customHeight="1" x14ac:dyDescent="0.25">
      <c r="A767" s="7" t="s">
        <v>58</v>
      </c>
      <c r="B767" s="2" t="s">
        <v>9792</v>
      </c>
      <c r="C767" s="2" t="s">
        <v>9793</v>
      </c>
      <c r="D767" s="2" t="s">
        <v>9794</v>
      </c>
      <c r="F767" s="3" t="s">
        <v>58</v>
      </c>
      <c r="G767" s="3" t="s">
        <v>59</v>
      </c>
      <c r="H767" s="3" t="s">
        <v>58</v>
      </c>
      <c r="I767" s="3" t="s">
        <v>58</v>
      </c>
      <c r="J767" s="3" t="s">
        <v>60</v>
      </c>
      <c r="K767" s="2" t="s">
        <v>9795</v>
      </c>
      <c r="L767" s="2" t="s">
        <v>9796</v>
      </c>
      <c r="M767" s="3" t="s">
        <v>229</v>
      </c>
      <c r="O767" s="3" t="s">
        <v>65</v>
      </c>
      <c r="P767" s="3" t="s">
        <v>1017</v>
      </c>
      <c r="Q767" s="2" t="s">
        <v>9797</v>
      </c>
      <c r="R767" s="3" t="s">
        <v>68</v>
      </c>
      <c r="S767" s="4">
        <v>2</v>
      </c>
      <c r="T767" s="4">
        <v>2</v>
      </c>
      <c r="U767" s="5" t="s">
        <v>4148</v>
      </c>
      <c r="V767" s="5" t="s">
        <v>4148</v>
      </c>
      <c r="W767" s="5" t="s">
        <v>3947</v>
      </c>
      <c r="X767" s="5" t="s">
        <v>3947</v>
      </c>
      <c r="Y767" s="4">
        <v>82</v>
      </c>
      <c r="Z767" s="4">
        <v>81</v>
      </c>
      <c r="AA767" s="4">
        <v>90</v>
      </c>
      <c r="AB767" s="4">
        <v>1</v>
      </c>
      <c r="AC767" s="4">
        <v>1</v>
      </c>
      <c r="AD767" s="4">
        <v>15</v>
      </c>
      <c r="AE767" s="4">
        <v>15</v>
      </c>
      <c r="AF767" s="4">
        <v>4</v>
      </c>
      <c r="AG767" s="4">
        <v>4</v>
      </c>
      <c r="AH767" s="4">
        <v>5</v>
      </c>
      <c r="AI767" s="4">
        <v>5</v>
      </c>
      <c r="AJ767" s="4">
        <v>11</v>
      </c>
      <c r="AK767" s="4">
        <v>11</v>
      </c>
      <c r="AL767" s="4">
        <v>0</v>
      </c>
      <c r="AM767" s="4">
        <v>0</v>
      </c>
      <c r="AN767" s="4">
        <v>0</v>
      </c>
      <c r="AO767" s="4">
        <v>0</v>
      </c>
      <c r="AP767" s="3" t="s">
        <v>58</v>
      </c>
      <c r="AQ767" s="3" t="s">
        <v>58</v>
      </c>
      <c r="AS767" s="6" t="str">
        <f>HYPERLINK("https://creighton-primo.hosted.exlibrisgroup.com/primo-explore/search?tab=default_tab&amp;search_scope=EVERYTHING&amp;vid=01CRU&amp;lang=en_US&amp;offset=0&amp;query=any,contains,991001670249702656","Catalog Record")</f>
        <v>Catalog Record</v>
      </c>
      <c r="AT767" s="6" t="str">
        <f>HYPERLINK("http://www.worldcat.org/oclc/21272143","WorldCat Record")</f>
        <v>WorldCat Record</v>
      </c>
      <c r="AU767" s="3" t="s">
        <v>9798</v>
      </c>
      <c r="AV767" s="3" t="s">
        <v>9799</v>
      </c>
      <c r="AW767" s="3" t="s">
        <v>9800</v>
      </c>
      <c r="AX767" s="3" t="s">
        <v>9800</v>
      </c>
      <c r="AY767" s="3" t="s">
        <v>9801</v>
      </c>
      <c r="AZ767" s="3" t="s">
        <v>75</v>
      </c>
      <c r="BB767" s="3" t="s">
        <v>9802</v>
      </c>
      <c r="BC767" s="3" t="s">
        <v>9803</v>
      </c>
      <c r="BD767" s="3" t="s">
        <v>9804</v>
      </c>
    </row>
    <row r="768" spans="1:56" ht="39" customHeight="1" x14ac:dyDescent="0.25">
      <c r="A768" s="7" t="s">
        <v>58</v>
      </c>
      <c r="B768" s="2" t="s">
        <v>9805</v>
      </c>
      <c r="C768" s="2" t="s">
        <v>9806</v>
      </c>
      <c r="D768" s="2" t="s">
        <v>9807</v>
      </c>
      <c r="F768" s="3" t="s">
        <v>58</v>
      </c>
      <c r="G768" s="3" t="s">
        <v>59</v>
      </c>
      <c r="H768" s="3" t="s">
        <v>58</v>
      </c>
      <c r="I768" s="3" t="s">
        <v>58</v>
      </c>
      <c r="J768" s="3" t="s">
        <v>60</v>
      </c>
      <c r="K768" s="2" t="s">
        <v>9808</v>
      </c>
      <c r="L768" s="2" t="s">
        <v>9809</v>
      </c>
      <c r="M768" s="3" t="s">
        <v>2855</v>
      </c>
      <c r="O768" s="3" t="s">
        <v>65</v>
      </c>
      <c r="P768" s="3" t="s">
        <v>5412</v>
      </c>
      <c r="R768" s="3" t="s">
        <v>68</v>
      </c>
      <c r="S768" s="4">
        <v>1</v>
      </c>
      <c r="T768" s="4">
        <v>1</v>
      </c>
      <c r="U768" s="5" t="s">
        <v>9810</v>
      </c>
      <c r="V768" s="5" t="s">
        <v>9810</v>
      </c>
      <c r="W768" s="5" t="s">
        <v>2494</v>
      </c>
      <c r="X768" s="5" t="s">
        <v>2494</v>
      </c>
      <c r="Y768" s="4">
        <v>24</v>
      </c>
      <c r="Z768" s="4">
        <v>20</v>
      </c>
      <c r="AA768" s="4">
        <v>30</v>
      </c>
      <c r="AB768" s="4">
        <v>1</v>
      </c>
      <c r="AC768" s="4">
        <v>1</v>
      </c>
      <c r="AD768" s="4">
        <v>5</v>
      </c>
      <c r="AE768" s="4">
        <v>9</v>
      </c>
      <c r="AF768" s="4">
        <v>0</v>
      </c>
      <c r="AG768" s="4">
        <v>0</v>
      </c>
      <c r="AH768" s="4">
        <v>2</v>
      </c>
      <c r="AI768" s="4">
        <v>3</v>
      </c>
      <c r="AJ768" s="4">
        <v>4</v>
      </c>
      <c r="AK768" s="4">
        <v>8</v>
      </c>
      <c r="AL768" s="4">
        <v>0</v>
      </c>
      <c r="AM768" s="4">
        <v>0</v>
      </c>
      <c r="AN768" s="4">
        <v>0</v>
      </c>
      <c r="AO768" s="4">
        <v>0</v>
      </c>
      <c r="AP768" s="3" t="s">
        <v>58</v>
      </c>
      <c r="AQ768" s="3" t="s">
        <v>58</v>
      </c>
      <c r="AS768" s="6" t="str">
        <f>HYPERLINK("https://creighton-primo.hosted.exlibrisgroup.com/primo-explore/search?tab=default_tab&amp;search_scope=EVERYTHING&amp;vid=01CRU&amp;lang=en_US&amp;offset=0&amp;query=any,contains,991004680639702656","Catalog Record")</f>
        <v>Catalog Record</v>
      </c>
      <c r="AT768" s="6" t="str">
        <f>HYPERLINK("http://www.worldcat.org/oclc/4564906","WorldCat Record")</f>
        <v>WorldCat Record</v>
      </c>
      <c r="AU768" s="3" t="s">
        <v>9811</v>
      </c>
      <c r="AV768" s="3" t="s">
        <v>9812</v>
      </c>
      <c r="AW768" s="3" t="s">
        <v>9813</v>
      </c>
      <c r="AX768" s="3" t="s">
        <v>9813</v>
      </c>
      <c r="AY768" s="3" t="s">
        <v>9814</v>
      </c>
      <c r="AZ768" s="3" t="s">
        <v>75</v>
      </c>
      <c r="BC768" s="3" t="s">
        <v>9815</v>
      </c>
      <c r="BD768" s="3" t="s">
        <v>9816</v>
      </c>
    </row>
    <row r="769" spans="1:56" ht="39" customHeight="1" x14ac:dyDescent="0.25">
      <c r="A769" s="7" t="s">
        <v>58</v>
      </c>
      <c r="B769" s="2" t="s">
        <v>9817</v>
      </c>
      <c r="C769" s="2" t="s">
        <v>9818</v>
      </c>
      <c r="D769" s="2" t="s">
        <v>9819</v>
      </c>
      <c r="F769" s="3" t="s">
        <v>58</v>
      </c>
      <c r="G769" s="3" t="s">
        <v>59</v>
      </c>
      <c r="H769" s="3" t="s">
        <v>58</v>
      </c>
      <c r="I769" s="3" t="s">
        <v>58</v>
      </c>
      <c r="J769" s="3" t="s">
        <v>60</v>
      </c>
      <c r="K769" s="2" t="s">
        <v>9820</v>
      </c>
      <c r="L769" s="2" t="s">
        <v>7940</v>
      </c>
      <c r="M769" s="3" t="s">
        <v>318</v>
      </c>
      <c r="N769" s="2" t="s">
        <v>9821</v>
      </c>
      <c r="O769" s="3" t="s">
        <v>65</v>
      </c>
      <c r="P769" s="3" t="s">
        <v>186</v>
      </c>
      <c r="R769" s="3" t="s">
        <v>68</v>
      </c>
      <c r="S769" s="4">
        <v>4</v>
      </c>
      <c r="T769" s="4">
        <v>4</v>
      </c>
      <c r="U769" s="5" t="s">
        <v>4296</v>
      </c>
      <c r="V769" s="5" t="s">
        <v>4296</v>
      </c>
      <c r="W769" s="5" t="s">
        <v>9822</v>
      </c>
      <c r="X769" s="5" t="s">
        <v>9822</v>
      </c>
      <c r="Y769" s="4">
        <v>71</v>
      </c>
      <c r="Z769" s="4">
        <v>64</v>
      </c>
      <c r="AA769" s="4">
        <v>289</v>
      </c>
      <c r="AB769" s="4">
        <v>1</v>
      </c>
      <c r="AC769" s="4">
        <v>2</v>
      </c>
      <c r="AD769" s="4">
        <v>4</v>
      </c>
      <c r="AE769" s="4">
        <v>11</v>
      </c>
      <c r="AF769" s="4">
        <v>1</v>
      </c>
      <c r="AG769" s="4">
        <v>3</v>
      </c>
      <c r="AH769" s="4">
        <v>2</v>
      </c>
      <c r="AI769" s="4">
        <v>3</v>
      </c>
      <c r="AJ769" s="4">
        <v>2</v>
      </c>
      <c r="AK769" s="4">
        <v>8</v>
      </c>
      <c r="AL769" s="4">
        <v>0</v>
      </c>
      <c r="AM769" s="4">
        <v>0</v>
      </c>
      <c r="AN769" s="4">
        <v>0</v>
      </c>
      <c r="AO769" s="4">
        <v>0</v>
      </c>
      <c r="AP769" s="3" t="s">
        <v>58</v>
      </c>
      <c r="AQ769" s="3" t="s">
        <v>58</v>
      </c>
      <c r="AS769" s="6" t="str">
        <f>HYPERLINK("https://creighton-primo.hosted.exlibrisgroup.com/primo-explore/search?tab=default_tab&amp;search_scope=EVERYTHING&amp;vid=01CRU&amp;lang=en_US&amp;offset=0&amp;query=any,contains,991002935369702656","Catalog Record")</f>
        <v>Catalog Record</v>
      </c>
      <c r="AT769" s="6" t="str">
        <f>HYPERLINK("http://www.worldcat.org/oclc/39045193","WorldCat Record")</f>
        <v>WorldCat Record</v>
      </c>
      <c r="AU769" s="3" t="s">
        <v>9823</v>
      </c>
      <c r="AV769" s="3" t="s">
        <v>9824</v>
      </c>
      <c r="AW769" s="3" t="s">
        <v>9825</v>
      </c>
      <c r="AX769" s="3" t="s">
        <v>9825</v>
      </c>
      <c r="AY769" s="3" t="s">
        <v>9826</v>
      </c>
      <c r="AZ769" s="3" t="s">
        <v>75</v>
      </c>
      <c r="BB769" s="3" t="s">
        <v>9827</v>
      </c>
      <c r="BC769" s="3" t="s">
        <v>9828</v>
      </c>
      <c r="BD769" s="3" t="s">
        <v>9829</v>
      </c>
    </row>
    <row r="770" spans="1:56" ht="39" customHeight="1" x14ac:dyDescent="0.25">
      <c r="A770" s="7" t="s">
        <v>58</v>
      </c>
      <c r="B770" s="2" t="s">
        <v>9830</v>
      </c>
      <c r="C770" s="2" t="s">
        <v>9831</v>
      </c>
      <c r="D770" s="2" t="s">
        <v>9832</v>
      </c>
      <c r="F770" s="3" t="s">
        <v>58</v>
      </c>
      <c r="G770" s="3" t="s">
        <v>59</v>
      </c>
      <c r="H770" s="3" t="s">
        <v>58</v>
      </c>
      <c r="I770" s="3" t="s">
        <v>58</v>
      </c>
      <c r="J770" s="3" t="s">
        <v>60</v>
      </c>
      <c r="K770" s="2" t="s">
        <v>9833</v>
      </c>
      <c r="L770" s="2" t="s">
        <v>9834</v>
      </c>
      <c r="M770" s="3" t="s">
        <v>215</v>
      </c>
      <c r="O770" s="3" t="s">
        <v>65</v>
      </c>
      <c r="P770" s="3" t="s">
        <v>186</v>
      </c>
      <c r="R770" s="3" t="s">
        <v>68</v>
      </c>
      <c r="S770" s="4">
        <v>10</v>
      </c>
      <c r="T770" s="4">
        <v>10</v>
      </c>
      <c r="U770" s="5" t="s">
        <v>9835</v>
      </c>
      <c r="V770" s="5" t="s">
        <v>9835</v>
      </c>
      <c r="W770" s="5" t="s">
        <v>9759</v>
      </c>
      <c r="X770" s="5" t="s">
        <v>9759</v>
      </c>
      <c r="Y770" s="4">
        <v>138</v>
      </c>
      <c r="Z770" s="4">
        <v>118</v>
      </c>
      <c r="AA770" s="4">
        <v>135</v>
      </c>
      <c r="AB770" s="4">
        <v>2</v>
      </c>
      <c r="AC770" s="4">
        <v>2</v>
      </c>
      <c r="AD770" s="4">
        <v>9</v>
      </c>
      <c r="AE770" s="4">
        <v>9</v>
      </c>
      <c r="AF770" s="4">
        <v>1</v>
      </c>
      <c r="AG770" s="4">
        <v>1</v>
      </c>
      <c r="AH770" s="4">
        <v>2</v>
      </c>
      <c r="AI770" s="4">
        <v>2</v>
      </c>
      <c r="AJ770" s="4">
        <v>7</v>
      </c>
      <c r="AK770" s="4">
        <v>7</v>
      </c>
      <c r="AL770" s="4">
        <v>0</v>
      </c>
      <c r="AM770" s="4">
        <v>0</v>
      </c>
      <c r="AN770" s="4">
        <v>0</v>
      </c>
      <c r="AO770" s="4">
        <v>0</v>
      </c>
      <c r="AP770" s="3" t="s">
        <v>58</v>
      </c>
      <c r="AQ770" s="3" t="s">
        <v>58</v>
      </c>
      <c r="AS770" s="6" t="str">
        <f>HYPERLINK("https://creighton-primo.hosted.exlibrisgroup.com/primo-explore/search?tab=default_tab&amp;search_scope=EVERYTHING&amp;vid=01CRU&amp;lang=en_US&amp;offset=0&amp;query=any,contains,991000850249702656","Catalog Record")</f>
        <v>Catalog Record</v>
      </c>
      <c r="AT770" s="6" t="str">
        <f>HYPERLINK("http://www.worldcat.org/oclc/13581914","WorldCat Record")</f>
        <v>WorldCat Record</v>
      </c>
      <c r="AU770" s="3" t="s">
        <v>9836</v>
      </c>
      <c r="AV770" s="3" t="s">
        <v>9837</v>
      </c>
      <c r="AW770" s="3" t="s">
        <v>9838</v>
      </c>
      <c r="AX770" s="3" t="s">
        <v>9838</v>
      </c>
      <c r="AY770" s="3" t="s">
        <v>9839</v>
      </c>
      <c r="AZ770" s="3" t="s">
        <v>75</v>
      </c>
      <c r="BB770" s="3" t="s">
        <v>9840</v>
      </c>
      <c r="BC770" s="3" t="s">
        <v>9841</v>
      </c>
      <c r="BD770" s="3" t="s">
        <v>9842</v>
      </c>
    </row>
    <row r="771" spans="1:56" ht="39" customHeight="1" x14ac:dyDescent="0.25">
      <c r="A771" s="7" t="s">
        <v>58</v>
      </c>
      <c r="B771" s="2" t="s">
        <v>9843</v>
      </c>
      <c r="C771" s="2" t="s">
        <v>9844</v>
      </c>
      <c r="D771" s="2" t="s">
        <v>9845</v>
      </c>
      <c r="F771" s="3" t="s">
        <v>58</v>
      </c>
      <c r="G771" s="3" t="s">
        <v>59</v>
      </c>
      <c r="H771" s="3" t="s">
        <v>58</v>
      </c>
      <c r="I771" s="3" t="s">
        <v>58</v>
      </c>
      <c r="J771" s="3" t="s">
        <v>60</v>
      </c>
      <c r="K771" s="2" t="s">
        <v>9846</v>
      </c>
      <c r="L771" s="2" t="s">
        <v>2930</v>
      </c>
      <c r="M771" s="3" t="s">
        <v>439</v>
      </c>
      <c r="O771" s="3" t="s">
        <v>65</v>
      </c>
      <c r="P771" s="3" t="s">
        <v>186</v>
      </c>
      <c r="R771" s="3" t="s">
        <v>68</v>
      </c>
      <c r="S771" s="4">
        <v>6</v>
      </c>
      <c r="T771" s="4">
        <v>6</v>
      </c>
      <c r="U771" s="5" t="s">
        <v>6770</v>
      </c>
      <c r="V771" s="5" t="s">
        <v>6770</v>
      </c>
      <c r="W771" s="5" t="s">
        <v>9759</v>
      </c>
      <c r="X771" s="5" t="s">
        <v>9759</v>
      </c>
      <c r="Y771" s="4">
        <v>177</v>
      </c>
      <c r="Z771" s="4">
        <v>161</v>
      </c>
      <c r="AA771" s="4">
        <v>163</v>
      </c>
      <c r="AB771" s="4">
        <v>5</v>
      </c>
      <c r="AC771" s="4">
        <v>5</v>
      </c>
      <c r="AD771" s="4">
        <v>11</v>
      </c>
      <c r="AE771" s="4">
        <v>11</v>
      </c>
      <c r="AF771" s="4">
        <v>1</v>
      </c>
      <c r="AG771" s="4">
        <v>1</v>
      </c>
      <c r="AH771" s="4">
        <v>3</v>
      </c>
      <c r="AI771" s="4">
        <v>3</v>
      </c>
      <c r="AJ771" s="4">
        <v>6</v>
      </c>
      <c r="AK771" s="4">
        <v>6</v>
      </c>
      <c r="AL771" s="4">
        <v>2</v>
      </c>
      <c r="AM771" s="4">
        <v>2</v>
      </c>
      <c r="AN771" s="4">
        <v>0</v>
      </c>
      <c r="AO771" s="4">
        <v>0</v>
      </c>
      <c r="AP771" s="3" t="s">
        <v>58</v>
      </c>
      <c r="AQ771" s="3" t="s">
        <v>132</v>
      </c>
      <c r="AR771" s="6" t="str">
        <f>HYPERLINK("http://catalog.hathitrust.org/Record/009759714","HathiTrust Record")</f>
        <v>HathiTrust Record</v>
      </c>
      <c r="AS771" s="6" t="str">
        <f>HYPERLINK("https://creighton-primo.hosted.exlibrisgroup.com/primo-explore/search?tab=default_tab&amp;search_scope=EVERYTHING&amp;vid=01CRU&amp;lang=en_US&amp;offset=0&amp;query=any,contains,991005110789702656","Catalog Record")</f>
        <v>Catalog Record</v>
      </c>
      <c r="AT771" s="6" t="str">
        <f>HYPERLINK("http://www.worldcat.org/oclc/7423265","WorldCat Record")</f>
        <v>WorldCat Record</v>
      </c>
      <c r="AU771" s="3" t="s">
        <v>9847</v>
      </c>
      <c r="AV771" s="3" t="s">
        <v>9848</v>
      </c>
      <c r="AW771" s="3" t="s">
        <v>9849</v>
      </c>
      <c r="AX771" s="3" t="s">
        <v>9849</v>
      </c>
      <c r="AY771" s="3" t="s">
        <v>9850</v>
      </c>
      <c r="AZ771" s="3" t="s">
        <v>75</v>
      </c>
      <c r="BB771" s="3" t="s">
        <v>9851</v>
      </c>
      <c r="BC771" s="3" t="s">
        <v>9852</v>
      </c>
      <c r="BD771" s="3" t="s">
        <v>9853</v>
      </c>
    </row>
    <row r="772" spans="1:56" ht="39" customHeight="1" x14ac:dyDescent="0.25">
      <c r="A772" s="7" t="s">
        <v>58</v>
      </c>
      <c r="B772" s="2" t="s">
        <v>9854</v>
      </c>
      <c r="C772" s="2" t="s">
        <v>9855</v>
      </c>
      <c r="D772" s="2" t="s">
        <v>9856</v>
      </c>
      <c r="F772" s="3" t="s">
        <v>58</v>
      </c>
      <c r="G772" s="3" t="s">
        <v>59</v>
      </c>
      <c r="H772" s="3" t="s">
        <v>58</v>
      </c>
      <c r="I772" s="3" t="s">
        <v>58</v>
      </c>
      <c r="J772" s="3" t="s">
        <v>60</v>
      </c>
      <c r="K772" s="2" t="s">
        <v>9857</v>
      </c>
      <c r="L772" s="2" t="s">
        <v>9858</v>
      </c>
      <c r="M772" s="3" t="s">
        <v>273</v>
      </c>
      <c r="O772" s="3" t="s">
        <v>65</v>
      </c>
      <c r="P772" s="3" t="s">
        <v>186</v>
      </c>
      <c r="R772" s="3" t="s">
        <v>68</v>
      </c>
      <c r="S772" s="4">
        <v>2</v>
      </c>
      <c r="T772" s="4">
        <v>2</v>
      </c>
      <c r="U772" s="5" t="s">
        <v>9859</v>
      </c>
      <c r="V772" s="5" t="s">
        <v>9859</v>
      </c>
      <c r="W772" s="5" t="s">
        <v>9860</v>
      </c>
      <c r="X772" s="5" t="s">
        <v>9860</v>
      </c>
      <c r="Y772" s="4">
        <v>94</v>
      </c>
      <c r="Z772" s="4">
        <v>77</v>
      </c>
      <c r="AA772" s="4">
        <v>77</v>
      </c>
      <c r="AB772" s="4">
        <v>1</v>
      </c>
      <c r="AC772" s="4">
        <v>1</v>
      </c>
      <c r="AD772" s="4">
        <v>8</v>
      </c>
      <c r="AE772" s="4">
        <v>8</v>
      </c>
      <c r="AF772" s="4">
        <v>2</v>
      </c>
      <c r="AG772" s="4">
        <v>2</v>
      </c>
      <c r="AH772" s="4">
        <v>3</v>
      </c>
      <c r="AI772" s="4">
        <v>3</v>
      </c>
      <c r="AJ772" s="4">
        <v>5</v>
      </c>
      <c r="AK772" s="4">
        <v>5</v>
      </c>
      <c r="AL772" s="4">
        <v>0</v>
      </c>
      <c r="AM772" s="4">
        <v>0</v>
      </c>
      <c r="AN772" s="4">
        <v>0</v>
      </c>
      <c r="AO772" s="4">
        <v>0</v>
      </c>
      <c r="AP772" s="3" t="s">
        <v>58</v>
      </c>
      <c r="AQ772" s="3" t="s">
        <v>58</v>
      </c>
      <c r="AS772" s="6" t="str">
        <f>HYPERLINK("https://creighton-primo.hosted.exlibrisgroup.com/primo-explore/search?tab=default_tab&amp;search_scope=EVERYTHING&amp;vid=01CRU&amp;lang=en_US&amp;offset=0&amp;query=any,contains,991002383359702656","Catalog Record")</f>
        <v>Catalog Record</v>
      </c>
      <c r="AT772" s="6" t="str">
        <f>HYPERLINK("http://www.worldcat.org/oclc/30974765","WorldCat Record")</f>
        <v>WorldCat Record</v>
      </c>
      <c r="AU772" s="3" t="s">
        <v>9861</v>
      </c>
      <c r="AV772" s="3" t="s">
        <v>9862</v>
      </c>
      <c r="AW772" s="3" t="s">
        <v>9863</v>
      </c>
      <c r="AX772" s="3" t="s">
        <v>9863</v>
      </c>
      <c r="AY772" s="3" t="s">
        <v>9864</v>
      </c>
      <c r="AZ772" s="3" t="s">
        <v>75</v>
      </c>
      <c r="BB772" s="3" t="s">
        <v>9865</v>
      </c>
      <c r="BC772" s="3" t="s">
        <v>9866</v>
      </c>
      <c r="BD772" s="3" t="s">
        <v>9867</v>
      </c>
    </row>
    <row r="773" spans="1:56" ht="39" customHeight="1" x14ac:dyDescent="0.25">
      <c r="A773" s="7" t="s">
        <v>58</v>
      </c>
      <c r="B773" s="2" t="s">
        <v>9868</v>
      </c>
      <c r="C773" s="2" t="s">
        <v>9869</v>
      </c>
      <c r="D773" s="2" t="s">
        <v>9870</v>
      </c>
      <c r="F773" s="3" t="s">
        <v>58</v>
      </c>
      <c r="G773" s="3" t="s">
        <v>59</v>
      </c>
      <c r="H773" s="3" t="s">
        <v>58</v>
      </c>
      <c r="I773" s="3" t="s">
        <v>58</v>
      </c>
      <c r="J773" s="3" t="s">
        <v>60</v>
      </c>
      <c r="K773" s="2" t="s">
        <v>604</v>
      </c>
      <c r="L773" s="2" t="s">
        <v>770</v>
      </c>
      <c r="M773" s="3" t="s">
        <v>303</v>
      </c>
      <c r="O773" s="3" t="s">
        <v>65</v>
      </c>
      <c r="P773" s="3" t="s">
        <v>186</v>
      </c>
      <c r="R773" s="3" t="s">
        <v>68</v>
      </c>
      <c r="S773" s="4">
        <v>1</v>
      </c>
      <c r="T773" s="4">
        <v>1</v>
      </c>
      <c r="U773" s="5" t="s">
        <v>3343</v>
      </c>
      <c r="V773" s="5" t="s">
        <v>3343</v>
      </c>
      <c r="W773" s="5" t="s">
        <v>3343</v>
      </c>
      <c r="X773" s="5" t="s">
        <v>3343</v>
      </c>
      <c r="Y773" s="4">
        <v>730</v>
      </c>
      <c r="Z773" s="4">
        <v>637</v>
      </c>
      <c r="AA773" s="4">
        <v>644</v>
      </c>
      <c r="AB773" s="4">
        <v>6</v>
      </c>
      <c r="AC773" s="4">
        <v>6</v>
      </c>
      <c r="AD773" s="4">
        <v>35</v>
      </c>
      <c r="AE773" s="4">
        <v>35</v>
      </c>
      <c r="AF773" s="4">
        <v>15</v>
      </c>
      <c r="AG773" s="4">
        <v>15</v>
      </c>
      <c r="AH773" s="4">
        <v>6</v>
      </c>
      <c r="AI773" s="4">
        <v>6</v>
      </c>
      <c r="AJ773" s="4">
        <v>18</v>
      </c>
      <c r="AK773" s="4">
        <v>18</v>
      </c>
      <c r="AL773" s="4">
        <v>4</v>
      </c>
      <c r="AM773" s="4">
        <v>4</v>
      </c>
      <c r="AN773" s="4">
        <v>0</v>
      </c>
      <c r="AO773" s="4">
        <v>0</v>
      </c>
      <c r="AP773" s="3" t="s">
        <v>58</v>
      </c>
      <c r="AQ773" s="3" t="s">
        <v>58</v>
      </c>
      <c r="AS773" s="6" t="str">
        <f>HYPERLINK("https://creighton-primo.hosted.exlibrisgroup.com/primo-explore/search?tab=default_tab&amp;search_scope=EVERYTHING&amp;vid=01CRU&amp;lang=en_US&amp;offset=0&amp;query=any,contains,991005328529702656","Catalog Record")</f>
        <v>Catalog Record</v>
      </c>
      <c r="AT773" s="6" t="str">
        <f>HYPERLINK("http://www.worldcat.org/oclc/2292309","WorldCat Record")</f>
        <v>WorldCat Record</v>
      </c>
      <c r="AU773" s="3" t="s">
        <v>9871</v>
      </c>
      <c r="AV773" s="3" t="s">
        <v>9872</v>
      </c>
      <c r="AW773" s="3" t="s">
        <v>9873</v>
      </c>
      <c r="AX773" s="3" t="s">
        <v>9873</v>
      </c>
      <c r="AY773" s="3" t="s">
        <v>9874</v>
      </c>
      <c r="AZ773" s="3" t="s">
        <v>75</v>
      </c>
      <c r="BB773" s="3" t="s">
        <v>9875</v>
      </c>
      <c r="BC773" s="3" t="s">
        <v>9876</v>
      </c>
      <c r="BD773" s="3" t="s">
        <v>9877</v>
      </c>
    </row>
    <row r="774" spans="1:56" ht="39" customHeight="1" x14ac:dyDescent="0.25">
      <c r="A774" s="7" t="s">
        <v>58</v>
      </c>
      <c r="B774" s="2" t="s">
        <v>9878</v>
      </c>
      <c r="C774" s="2" t="s">
        <v>9879</v>
      </c>
      <c r="D774" s="2" t="s">
        <v>9880</v>
      </c>
      <c r="F774" s="3" t="s">
        <v>58</v>
      </c>
      <c r="G774" s="3" t="s">
        <v>59</v>
      </c>
      <c r="H774" s="3" t="s">
        <v>58</v>
      </c>
      <c r="I774" s="3" t="s">
        <v>58</v>
      </c>
      <c r="J774" s="3" t="s">
        <v>60</v>
      </c>
      <c r="K774" s="2" t="s">
        <v>9881</v>
      </c>
      <c r="L774" s="2" t="s">
        <v>9882</v>
      </c>
      <c r="M774" s="3" t="s">
        <v>2179</v>
      </c>
      <c r="O774" s="3" t="s">
        <v>65</v>
      </c>
      <c r="P774" s="3" t="s">
        <v>1358</v>
      </c>
      <c r="R774" s="3" t="s">
        <v>68</v>
      </c>
      <c r="S774" s="4">
        <v>2</v>
      </c>
      <c r="T774" s="4">
        <v>2</v>
      </c>
      <c r="U774" s="5" t="s">
        <v>9883</v>
      </c>
      <c r="V774" s="5" t="s">
        <v>9883</v>
      </c>
      <c r="W774" s="5" t="s">
        <v>9759</v>
      </c>
      <c r="X774" s="5" t="s">
        <v>9759</v>
      </c>
      <c r="Y774" s="4">
        <v>106</v>
      </c>
      <c r="Z774" s="4">
        <v>101</v>
      </c>
      <c r="AA774" s="4">
        <v>117</v>
      </c>
      <c r="AB774" s="4">
        <v>2</v>
      </c>
      <c r="AC774" s="4">
        <v>3</v>
      </c>
      <c r="AD774" s="4">
        <v>22</v>
      </c>
      <c r="AE774" s="4">
        <v>24</v>
      </c>
      <c r="AF774" s="4">
        <v>7</v>
      </c>
      <c r="AG774" s="4">
        <v>7</v>
      </c>
      <c r="AH774" s="4">
        <v>7</v>
      </c>
      <c r="AI774" s="4">
        <v>8</v>
      </c>
      <c r="AJ774" s="4">
        <v>15</v>
      </c>
      <c r="AK774" s="4">
        <v>17</v>
      </c>
      <c r="AL774" s="4">
        <v>0</v>
      </c>
      <c r="AM774" s="4">
        <v>0</v>
      </c>
      <c r="AN774" s="4">
        <v>0</v>
      </c>
      <c r="AO774" s="4">
        <v>0</v>
      </c>
      <c r="AP774" s="3" t="s">
        <v>58</v>
      </c>
      <c r="AQ774" s="3" t="s">
        <v>132</v>
      </c>
      <c r="AR774" s="6" t="str">
        <f>HYPERLINK("http://catalog.hathitrust.org/Record/102581935","HathiTrust Record")</f>
        <v>HathiTrust Record</v>
      </c>
      <c r="AS774" s="6" t="str">
        <f>HYPERLINK("https://creighton-primo.hosted.exlibrisgroup.com/primo-explore/search?tab=default_tab&amp;search_scope=EVERYTHING&amp;vid=01CRU&amp;lang=en_US&amp;offset=0&amp;query=any,contains,991004136119702656","Catalog Record")</f>
        <v>Catalog Record</v>
      </c>
      <c r="AT774" s="6" t="str">
        <f>HYPERLINK("http://www.worldcat.org/oclc/2486384","WorldCat Record")</f>
        <v>WorldCat Record</v>
      </c>
      <c r="AU774" s="3" t="s">
        <v>9884</v>
      </c>
      <c r="AV774" s="3" t="s">
        <v>9885</v>
      </c>
      <c r="AW774" s="3" t="s">
        <v>9886</v>
      </c>
      <c r="AX774" s="3" t="s">
        <v>9886</v>
      </c>
      <c r="AY774" s="3" t="s">
        <v>9887</v>
      </c>
      <c r="AZ774" s="3" t="s">
        <v>75</v>
      </c>
      <c r="BC774" s="3" t="s">
        <v>9888</v>
      </c>
      <c r="BD774" s="3" t="s">
        <v>9889</v>
      </c>
    </row>
    <row r="775" spans="1:56" ht="39" customHeight="1" x14ac:dyDescent="0.25">
      <c r="A775" s="7" t="s">
        <v>58</v>
      </c>
      <c r="B775" s="2" t="s">
        <v>9890</v>
      </c>
      <c r="C775" s="2" t="s">
        <v>9891</v>
      </c>
      <c r="D775" s="2" t="s">
        <v>9892</v>
      </c>
      <c r="F775" s="3" t="s">
        <v>58</v>
      </c>
      <c r="G775" s="3" t="s">
        <v>59</v>
      </c>
      <c r="H775" s="3" t="s">
        <v>58</v>
      </c>
      <c r="I775" s="3" t="s">
        <v>58</v>
      </c>
      <c r="J775" s="3" t="s">
        <v>60</v>
      </c>
      <c r="K775" s="2" t="s">
        <v>9893</v>
      </c>
      <c r="L775" s="2" t="s">
        <v>9894</v>
      </c>
      <c r="M775" s="3" t="s">
        <v>462</v>
      </c>
      <c r="O775" s="3" t="s">
        <v>65</v>
      </c>
      <c r="P775" s="3" t="s">
        <v>186</v>
      </c>
      <c r="R775" s="3" t="s">
        <v>68</v>
      </c>
      <c r="S775" s="4">
        <v>3</v>
      </c>
      <c r="T775" s="4">
        <v>3</v>
      </c>
      <c r="U775" s="5" t="s">
        <v>9895</v>
      </c>
      <c r="V775" s="5" t="s">
        <v>9895</v>
      </c>
      <c r="W775" s="5" t="s">
        <v>9759</v>
      </c>
      <c r="X775" s="5" t="s">
        <v>9759</v>
      </c>
      <c r="Y775" s="4">
        <v>148</v>
      </c>
      <c r="Z775" s="4">
        <v>123</v>
      </c>
      <c r="AA775" s="4">
        <v>158</v>
      </c>
      <c r="AB775" s="4">
        <v>3</v>
      </c>
      <c r="AC775" s="4">
        <v>3</v>
      </c>
      <c r="AD775" s="4">
        <v>11</v>
      </c>
      <c r="AE775" s="4">
        <v>12</v>
      </c>
      <c r="AF775" s="4">
        <v>0</v>
      </c>
      <c r="AG775" s="4">
        <v>0</v>
      </c>
      <c r="AH775" s="4">
        <v>3</v>
      </c>
      <c r="AI775" s="4">
        <v>4</v>
      </c>
      <c r="AJ775" s="4">
        <v>7</v>
      </c>
      <c r="AK775" s="4">
        <v>8</v>
      </c>
      <c r="AL775" s="4">
        <v>1</v>
      </c>
      <c r="AM775" s="4">
        <v>1</v>
      </c>
      <c r="AN775" s="4">
        <v>0</v>
      </c>
      <c r="AO775" s="4">
        <v>0</v>
      </c>
      <c r="AP775" s="3" t="s">
        <v>58</v>
      </c>
      <c r="AQ775" s="3" t="s">
        <v>58</v>
      </c>
      <c r="AS775" s="6" t="str">
        <f>HYPERLINK("https://creighton-primo.hosted.exlibrisgroup.com/primo-explore/search?tab=default_tab&amp;search_scope=EVERYTHING&amp;vid=01CRU&amp;lang=en_US&amp;offset=0&amp;query=any,contains,991000444999702656","Catalog Record")</f>
        <v>Catalog Record</v>
      </c>
      <c r="AT775" s="6" t="str">
        <f>HYPERLINK("http://www.worldcat.org/oclc/10849993","WorldCat Record")</f>
        <v>WorldCat Record</v>
      </c>
      <c r="AU775" s="3" t="s">
        <v>9896</v>
      </c>
      <c r="AV775" s="3" t="s">
        <v>9897</v>
      </c>
      <c r="AW775" s="3" t="s">
        <v>9898</v>
      </c>
      <c r="AX775" s="3" t="s">
        <v>9898</v>
      </c>
      <c r="AY775" s="3" t="s">
        <v>9899</v>
      </c>
      <c r="AZ775" s="3" t="s">
        <v>75</v>
      </c>
      <c r="BB775" s="3" t="s">
        <v>9900</v>
      </c>
      <c r="BC775" s="3" t="s">
        <v>9901</v>
      </c>
      <c r="BD775" s="3" t="s">
        <v>9902</v>
      </c>
    </row>
    <row r="776" spans="1:56" ht="39" customHeight="1" x14ac:dyDescent="0.25">
      <c r="A776" s="7" t="s">
        <v>58</v>
      </c>
      <c r="B776" s="2" t="s">
        <v>9903</v>
      </c>
      <c r="C776" s="2" t="s">
        <v>9904</v>
      </c>
      <c r="D776" s="2" t="s">
        <v>9905</v>
      </c>
      <c r="F776" s="3" t="s">
        <v>58</v>
      </c>
      <c r="G776" s="3" t="s">
        <v>59</v>
      </c>
      <c r="H776" s="3" t="s">
        <v>58</v>
      </c>
      <c r="I776" s="3" t="s">
        <v>58</v>
      </c>
      <c r="J776" s="3" t="s">
        <v>60</v>
      </c>
      <c r="K776" s="2" t="s">
        <v>2608</v>
      </c>
      <c r="L776" s="2" t="s">
        <v>9906</v>
      </c>
      <c r="M776" s="3" t="s">
        <v>845</v>
      </c>
      <c r="O776" s="3" t="s">
        <v>65</v>
      </c>
      <c r="P776" s="3" t="s">
        <v>186</v>
      </c>
      <c r="R776" s="3" t="s">
        <v>68</v>
      </c>
      <c r="S776" s="4">
        <v>7</v>
      </c>
      <c r="T776" s="4">
        <v>7</v>
      </c>
      <c r="U776" s="5" t="s">
        <v>7322</v>
      </c>
      <c r="V776" s="5" t="s">
        <v>7322</v>
      </c>
      <c r="W776" s="5" t="s">
        <v>9759</v>
      </c>
      <c r="X776" s="5" t="s">
        <v>9759</v>
      </c>
      <c r="Y776" s="4">
        <v>595</v>
      </c>
      <c r="Z776" s="4">
        <v>550</v>
      </c>
      <c r="AA776" s="4">
        <v>1036</v>
      </c>
      <c r="AB776" s="4">
        <v>2</v>
      </c>
      <c r="AC776" s="4">
        <v>6</v>
      </c>
      <c r="AD776" s="4">
        <v>28</v>
      </c>
      <c r="AE776" s="4">
        <v>44</v>
      </c>
      <c r="AF776" s="4">
        <v>10</v>
      </c>
      <c r="AG776" s="4">
        <v>17</v>
      </c>
      <c r="AH776" s="4">
        <v>5</v>
      </c>
      <c r="AI776" s="4">
        <v>9</v>
      </c>
      <c r="AJ776" s="4">
        <v>22</v>
      </c>
      <c r="AK776" s="4">
        <v>26</v>
      </c>
      <c r="AL776" s="4">
        <v>0</v>
      </c>
      <c r="AM776" s="4">
        <v>4</v>
      </c>
      <c r="AN776" s="4">
        <v>0</v>
      </c>
      <c r="AO776" s="4">
        <v>0</v>
      </c>
      <c r="AP776" s="3" t="s">
        <v>58</v>
      </c>
      <c r="AQ776" s="3" t="s">
        <v>132</v>
      </c>
      <c r="AR776" s="6" t="str">
        <f>HYPERLINK("http://catalog.hathitrust.org/Record/001414926","HathiTrust Record")</f>
        <v>HathiTrust Record</v>
      </c>
      <c r="AS776" s="6" t="str">
        <f>HYPERLINK("https://creighton-primo.hosted.exlibrisgroup.com/primo-explore/search?tab=default_tab&amp;search_scope=EVERYTHING&amp;vid=01CRU&amp;lang=en_US&amp;offset=0&amp;query=any,contains,991000017989702656","Catalog Record")</f>
        <v>Catalog Record</v>
      </c>
      <c r="AT776" s="6" t="str">
        <f>HYPERLINK("http://www.worldcat.org/oclc/16848","WorldCat Record")</f>
        <v>WorldCat Record</v>
      </c>
      <c r="AU776" s="3" t="s">
        <v>9907</v>
      </c>
      <c r="AV776" s="3" t="s">
        <v>9908</v>
      </c>
      <c r="AW776" s="3" t="s">
        <v>9909</v>
      </c>
      <c r="AX776" s="3" t="s">
        <v>9909</v>
      </c>
      <c r="AY776" s="3" t="s">
        <v>9910</v>
      </c>
      <c r="AZ776" s="3" t="s">
        <v>75</v>
      </c>
      <c r="BC776" s="3" t="s">
        <v>9911</v>
      </c>
      <c r="BD776" s="3" t="s">
        <v>9912</v>
      </c>
    </row>
    <row r="777" spans="1:56" ht="39" customHeight="1" x14ac:dyDescent="0.25">
      <c r="A777" s="7" t="s">
        <v>58</v>
      </c>
      <c r="B777" s="2" t="s">
        <v>9913</v>
      </c>
      <c r="C777" s="2" t="s">
        <v>9914</v>
      </c>
      <c r="D777" s="2" t="s">
        <v>9915</v>
      </c>
      <c r="F777" s="3" t="s">
        <v>58</v>
      </c>
      <c r="G777" s="3" t="s">
        <v>59</v>
      </c>
      <c r="H777" s="3" t="s">
        <v>58</v>
      </c>
      <c r="I777" s="3" t="s">
        <v>58</v>
      </c>
      <c r="J777" s="3" t="s">
        <v>60</v>
      </c>
      <c r="K777" s="2" t="s">
        <v>8545</v>
      </c>
      <c r="L777" s="2" t="s">
        <v>9916</v>
      </c>
      <c r="M777" s="3" t="s">
        <v>303</v>
      </c>
      <c r="O777" s="3" t="s">
        <v>65</v>
      </c>
      <c r="P777" s="3" t="s">
        <v>492</v>
      </c>
      <c r="R777" s="3" t="s">
        <v>68</v>
      </c>
      <c r="S777" s="4">
        <v>8</v>
      </c>
      <c r="T777" s="4">
        <v>8</v>
      </c>
      <c r="U777" s="5" t="s">
        <v>8836</v>
      </c>
      <c r="V777" s="5" t="s">
        <v>8836</v>
      </c>
      <c r="W777" s="5" t="s">
        <v>9759</v>
      </c>
      <c r="X777" s="5" t="s">
        <v>9759</v>
      </c>
      <c r="Y777" s="4">
        <v>127</v>
      </c>
      <c r="Z777" s="4">
        <v>97</v>
      </c>
      <c r="AA777" s="4">
        <v>153</v>
      </c>
      <c r="AB777" s="4">
        <v>2</v>
      </c>
      <c r="AC777" s="4">
        <v>2</v>
      </c>
      <c r="AD777" s="4">
        <v>14</v>
      </c>
      <c r="AE777" s="4">
        <v>15</v>
      </c>
      <c r="AF777" s="4">
        <v>4</v>
      </c>
      <c r="AG777" s="4">
        <v>4</v>
      </c>
      <c r="AH777" s="4">
        <v>4</v>
      </c>
      <c r="AI777" s="4">
        <v>4</v>
      </c>
      <c r="AJ777" s="4">
        <v>10</v>
      </c>
      <c r="AK777" s="4">
        <v>11</v>
      </c>
      <c r="AL777" s="4">
        <v>0</v>
      </c>
      <c r="AM777" s="4">
        <v>0</v>
      </c>
      <c r="AN777" s="4">
        <v>0</v>
      </c>
      <c r="AO777" s="4">
        <v>0</v>
      </c>
      <c r="AP777" s="3" t="s">
        <v>58</v>
      </c>
      <c r="AQ777" s="3" t="s">
        <v>58</v>
      </c>
      <c r="AS777" s="6" t="str">
        <f>HYPERLINK("https://creighton-primo.hosted.exlibrisgroup.com/primo-explore/search?tab=default_tab&amp;search_scope=EVERYTHING&amp;vid=01CRU&amp;lang=en_US&amp;offset=0&amp;query=any,contains,991004132099702656","Catalog Record")</f>
        <v>Catalog Record</v>
      </c>
      <c r="AT777" s="6" t="str">
        <f>HYPERLINK("http://www.worldcat.org/oclc/2472896","WorldCat Record")</f>
        <v>WorldCat Record</v>
      </c>
      <c r="AU777" s="3" t="s">
        <v>9917</v>
      </c>
      <c r="AV777" s="3" t="s">
        <v>9918</v>
      </c>
      <c r="AW777" s="3" t="s">
        <v>9919</v>
      </c>
      <c r="AX777" s="3" t="s">
        <v>9919</v>
      </c>
      <c r="AY777" s="3" t="s">
        <v>9920</v>
      </c>
      <c r="AZ777" s="3" t="s">
        <v>75</v>
      </c>
      <c r="BC777" s="3" t="s">
        <v>9921</v>
      </c>
      <c r="BD777" s="3" t="s">
        <v>9922</v>
      </c>
    </row>
    <row r="778" spans="1:56" ht="39" customHeight="1" x14ac:dyDescent="0.25">
      <c r="A778" s="7" t="s">
        <v>58</v>
      </c>
      <c r="B778" s="2" t="s">
        <v>9923</v>
      </c>
      <c r="C778" s="2" t="s">
        <v>9924</v>
      </c>
      <c r="D778" s="2" t="s">
        <v>9925</v>
      </c>
      <c r="F778" s="3" t="s">
        <v>58</v>
      </c>
      <c r="G778" s="3" t="s">
        <v>59</v>
      </c>
      <c r="H778" s="3" t="s">
        <v>58</v>
      </c>
      <c r="I778" s="3" t="s">
        <v>58</v>
      </c>
      <c r="J778" s="3" t="s">
        <v>60</v>
      </c>
      <c r="K778" s="2" t="s">
        <v>9926</v>
      </c>
      <c r="L778" s="2" t="s">
        <v>9927</v>
      </c>
      <c r="M778" s="3" t="s">
        <v>439</v>
      </c>
      <c r="O778" s="3" t="s">
        <v>65</v>
      </c>
      <c r="P778" s="3" t="s">
        <v>186</v>
      </c>
      <c r="R778" s="3" t="s">
        <v>68</v>
      </c>
      <c r="S778" s="4">
        <v>2</v>
      </c>
      <c r="T778" s="4">
        <v>2</v>
      </c>
      <c r="U778" s="5" t="s">
        <v>9928</v>
      </c>
      <c r="V778" s="5" t="s">
        <v>9928</v>
      </c>
      <c r="W778" s="5" t="s">
        <v>9759</v>
      </c>
      <c r="X778" s="5" t="s">
        <v>9759</v>
      </c>
      <c r="Y778" s="4">
        <v>496</v>
      </c>
      <c r="Z778" s="4">
        <v>443</v>
      </c>
      <c r="AA778" s="4">
        <v>455</v>
      </c>
      <c r="AB778" s="4">
        <v>3</v>
      </c>
      <c r="AC778" s="4">
        <v>3</v>
      </c>
      <c r="AD778" s="4">
        <v>22</v>
      </c>
      <c r="AE778" s="4">
        <v>22</v>
      </c>
      <c r="AF778" s="4">
        <v>7</v>
      </c>
      <c r="AG778" s="4">
        <v>7</v>
      </c>
      <c r="AH778" s="4">
        <v>4</v>
      </c>
      <c r="AI778" s="4">
        <v>4</v>
      </c>
      <c r="AJ778" s="4">
        <v>15</v>
      </c>
      <c r="AK778" s="4">
        <v>15</v>
      </c>
      <c r="AL778" s="4">
        <v>0</v>
      </c>
      <c r="AM778" s="4">
        <v>0</v>
      </c>
      <c r="AN778" s="4">
        <v>0</v>
      </c>
      <c r="AO778" s="4">
        <v>0</v>
      </c>
      <c r="AP778" s="3" t="s">
        <v>58</v>
      </c>
      <c r="AQ778" s="3" t="s">
        <v>132</v>
      </c>
      <c r="AR778" s="6" t="str">
        <f>HYPERLINK("http://catalog.hathitrust.org/Record/006014253","HathiTrust Record")</f>
        <v>HathiTrust Record</v>
      </c>
      <c r="AS778" s="6" t="str">
        <f>HYPERLINK("https://creighton-primo.hosted.exlibrisgroup.com/primo-explore/search?tab=default_tab&amp;search_scope=EVERYTHING&amp;vid=01CRU&amp;lang=en_US&amp;offset=0&amp;query=any,contains,991005073119702656","Catalog Record")</f>
        <v>Catalog Record</v>
      </c>
      <c r="AT778" s="6" t="str">
        <f>HYPERLINK("http://www.worldcat.org/oclc/7064455","WorldCat Record")</f>
        <v>WorldCat Record</v>
      </c>
      <c r="AU778" s="3" t="s">
        <v>9929</v>
      </c>
      <c r="AV778" s="3" t="s">
        <v>9930</v>
      </c>
      <c r="AW778" s="3" t="s">
        <v>9931</v>
      </c>
      <c r="AX778" s="3" t="s">
        <v>9931</v>
      </c>
      <c r="AY778" s="3" t="s">
        <v>9932</v>
      </c>
      <c r="AZ778" s="3" t="s">
        <v>75</v>
      </c>
      <c r="BB778" s="3" t="s">
        <v>9933</v>
      </c>
      <c r="BC778" s="3" t="s">
        <v>9934</v>
      </c>
      <c r="BD778" s="3" t="s">
        <v>9935</v>
      </c>
    </row>
    <row r="779" spans="1:56" ht="39" customHeight="1" x14ac:dyDescent="0.25">
      <c r="A779" s="7" t="s">
        <v>58</v>
      </c>
      <c r="B779" s="2" t="s">
        <v>9936</v>
      </c>
      <c r="C779" s="2" t="s">
        <v>9937</v>
      </c>
      <c r="D779" s="2" t="s">
        <v>9938</v>
      </c>
      <c r="F779" s="3" t="s">
        <v>58</v>
      </c>
      <c r="G779" s="3" t="s">
        <v>59</v>
      </c>
      <c r="H779" s="3" t="s">
        <v>58</v>
      </c>
      <c r="I779" s="3" t="s">
        <v>58</v>
      </c>
      <c r="J779" s="3" t="s">
        <v>60</v>
      </c>
      <c r="K779" s="2" t="s">
        <v>9939</v>
      </c>
      <c r="L779" s="2" t="s">
        <v>9940</v>
      </c>
      <c r="M779" s="3" t="s">
        <v>1738</v>
      </c>
      <c r="O779" s="3" t="s">
        <v>65</v>
      </c>
      <c r="P779" s="3" t="s">
        <v>954</v>
      </c>
      <c r="R779" s="3" t="s">
        <v>68</v>
      </c>
      <c r="S779" s="4">
        <v>9</v>
      </c>
      <c r="T779" s="4">
        <v>9</v>
      </c>
      <c r="U779" s="5" t="s">
        <v>9883</v>
      </c>
      <c r="V779" s="5" t="s">
        <v>9883</v>
      </c>
      <c r="W779" s="5" t="s">
        <v>9941</v>
      </c>
      <c r="X779" s="5" t="s">
        <v>9941</v>
      </c>
      <c r="Y779" s="4">
        <v>41</v>
      </c>
      <c r="Z779" s="4">
        <v>36</v>
      </c>
      <c r="AA779" s="4">
        <v>60</v>
      </c>
      <c r="AB779" s="4">
        <v>1</v>
      </c>
      <c r="AC779" s="4">
        <v>1</v>
      </c>
      <c r="AD779" s="4">
        <v>9</v>
      </c>
      <c r="AE779" s="4">
        <v>14</v>
      </c>
      <c r="AF779" s="4">
        <v>2</v>
      </c>
      <c r="AG779" s="4">
        <v>2</v>
      </c>
      <c r="AH779" s="4">
        <v>2</v>
      </c>
      <c r="AI779" s="4">
        <v>4</v>
      </c>
      <c r="AJ779" s="4">
        <v>7</v>
      </c>
      <c r="AK779" s="4">
        <v>11</v>
      </c>
      <c r="AL779" s="4">
        <v>0</v>
      </c>
      <c r="AM779" s="4">
        <v>0</v>
      </c>
      <c r="AN779" s="4">
        <v>0</v>
      </c>
      <c r="AO779" s="4">
        <v>0</v>
      </c>
      <c r="AP779" s="3" t="s">
        <v>58</v>
      </c>
      <c r="AQ779" s="3" t="s">
        <v>58</v>
      </c>
      <c r="AR779" s="6" t="str">
        <f>HYPERLINK("http://catalog.hathitrust.org/Record/102695190","HathiTrust Record")</f>
        <v>HathiTrust Record</v>
      </c>
      <c r="AS779" s="6" t="str">
        <f>HYPERLINK("https://creighton-primo.hosted.exlibrisgroup.com/primo-explore/search?tab=default_tab&amp;search_scope=EVERYTHING&amp;vid=01CRU&amp;lang=en_US&amp;offset=0&amp;query=any,contains,991003757779702656","Catalog Record")</f>
        <v>Catalog Record</v>
      </c>
      <c r="AT779" s="6" t="str">
        <f>HYPERLINK("http://www.worldcat.org/oclc/1441093","WorldCat Record")</f>
        <v>WorldCat Record</v>
      </c>
      <c r="AU779" s="3" t="s">
        <v>9942</v>
      </c>
      <c r="AV779" s="3" t="s">
        <v>9943</v>
      </c>
      <c r="AW779" s="3" t="s">
        <v>9944</v>
      </c>
      <c r="AX779" s="3" t="s">
        <v>9944</v>
      </c>
      <c r="AY779" s="3" t="s">
        <v>9945</v>
      </c>
      <c r="AZ779" s="3" t="s">
        <v>75</v>
      </c>
      <c r="BC779" s="3" t="s">
        <v>9946</v>
      </c>
      <c r="BD779" s="3" t="s">
        <v>9947</v>
      </c>
    </row>
    <row r="780" spans="1:56" ht="39" customHeight="1" x14ac:dyDescent="0.25">
      <c r="A780" s="7" t="s">
        <v>58</v>
      </c>
      <c r="B780" s="2" t="s">
        <v>9948</v>
      </c>
      <c r="C780" s="2" t="s">
        <v>9949</v>
      </c>
      <c r="D780" s="2" t="s">
        <v>9950</v>
      </c>
      <c r="F780" s="3" t="s">
        <v>58</v>
      </c>
      <c r="G780" s="3" t="s">
        <v>59</v>
      </c>
      <c r="H780" s="3" t="s">
        <v>58</v>
      </c>
      <c r="I780" s="3" t="s">
        <v>58</v>
      </c>
      <c r="J780" s="3" t="s">
        <v>60</v>
      </c>
      <c r="K780" s="2" t="s">
        <v>9951</v>
      </c>
      <c r="L780" s="2" t="s">
        <v>9952</v>
      </c>
      <c r="M780" s="3" t="s">
        <v>953</v>
      </c>
      <c r="O780" s="3" t="s">
        <v>65</v>
      </c>
      <c r="P780" s="3" t="s">
        <v>954</v>
      </c>
      <c r="R780" s="3" t="s">
        <v>68</v>
      </c>
      <c r="S780" s="4">
        <v>2</v>
      </c>
      <c r="T780" s="4">
        <v>2</v>
      </c>
      <c r="U780" s="5" t="s">
        <v>9953</v>
      </c>
      <c r="V780" s="5" t="s">
        <v>9953</v>
      </c>
      <c r="W780" s="5" t="s">
        <v>9954</v>
      </c>
      <c r="X780" s="5" t="s">
        <v>9954</v>
      </c>
      <c r="Y780" s="4">
        <v>124</v>
      </c>
      <c r="Z780" s="4">
        <v>112</v>
      </c>
      <c r="AA780" s="4">
        <v>118</v>
      </c>
      <c r="AB780" s="4">
        <v>2</v>
      </c>
      <c r="AC780" s="4">
        <v>3</v>
      </c>
      <c r="AD780" s="4">
        <v>18</v>
      </c>
      <c r="AE780" s="4">
        <v>18</v>
      </c>
      <c r="AF780" s="4">
        <v>5</v>
      </c>
      <c r="AG780" s="4">
        <v>5</v>
      </c>
      <c r="AH780" s="4">
        <v>6</v>
      </c>
      <c r="AI780" s="4">
        <v>6</v>
      </c>
      <c r="AJ780" s="4">
        <v>15</v>
      </c>
      <c r="AK780" s="4">
        <v>15</v>
      </c>
      <c r="AL780" s="4">
        <v>0</v>
      </c>
      <c r="AM780" s="4">
        <v>0</v>
      </c>
      <c r="AN780" s="4">
        <v>0</v>
      </c>
      <c r="AO780" s="4">
        <v>0</v>
      </c>
      <c r="AP780" s="3" t="s">
        <v>58</v>
      </c>
      <c r="AQ780" s="3" t="s">
        <v>58</v>
      </c>
      <c r="AS780" s="6" t="str">
        <f>HYPERLINK("https://creighton-primo.hosted.exlibrisgroup.com/primo-explore/search?tab=default_tab&amp;search_scope=EVERYTHING&amp;vid=01CRU&amp;lang=en_US&amp;offset=0&amp;query=any,contains,991003603649702656","Catalog Record")</f>
        <v>Catalog Record</v>
      </c>
      <c r="AT780" s="6" t="str">
        <f>HYPERLINK("http://www.worldcat.org/oclc/1182834","WorldCat Record")</f>
        <v>WorldCat Record</v>
      </c>
      <c r="AU780" s="3" t="s">
        <v>9955</v>
      </c>
      <c r="AV780" s="3" t="s">
        <v>9956</v>
      </c>
      <c r="AW780" s="3" t="s">
        <v>9957</v>
      </c>
      <c r="AX780" s="3" t="s">
        <v>9957</v>
      </c>
      <c r="AY780" s="3" t="s">
        <v>9958</v>
      </c>
      <c r="AZ780" s="3" t="s">
        <v>75</v>
      </c>
      <c r="BC780" s="3" t="s">
        <v>9959</v>
      </c>
      <c r="BD780" s="3" t="s">
        <v>9960</v>
      </c>
    </row>
    <row r="781" spans="1:56" ht="39" customHeight="1" x14ac:dyDescent="0.25">
      <c r="A781" s="7" t="s">
        <v>58</v>
      </c>
      <c r="B781" s="2" t="s">
        <v>9961</v>
      </c>
      <c r="C781" s="2" t="s">
        <v>9962</v>
      </c>
      <c r="D781" s="2" t="s">
        <v>9963</v>
      </c>
      <c r="F781" s="3" t="s">
        <v>58</v>
      </c>
      <c r="G781" s="3" t="s">
        <v>59</v>
      </c>
      <c r="H781" s="3" t="s">
        <v>58</v>
      </c>
      <c r="I781" s="3" t="s">
        <v>58</v>
      </c>
      <c r="J781" s="3" t="s">
        <v>60</v>
      </c>
      <c r="K781" s="2" t="s">
        <v>9964</v>
      </c>
      <c r="L781" s="2" t="s">
        <v>9965</v>
      </c>
      <c r="M781" s="3" t="s">
        <v>1289</v>
      </c>
      <c r="O781" s="3" t="s">
        <v>65</v>
      </c>
      <c r="P781" s="3" t="s">
        <v>113</v>
      </c>
      <c r="Q781" s="2" t="s">
        <v>9966</v>
      </c>
      <c r="R781" s="3" t="s">
        <v>68</v>
      </c>
      <c r="S781" s="4">
        <v>1</v>
      </c>
      <c r="T781" s="4">
        <v>1</v>
      </c>
      <c r="U781" s="5" t="s">
        <v>9967</v>
      </c>
      <c r="V781" s="5" t="s">
        <v>9967</v>
      </c>
      <c r="W781" s="5" t="s">
        <v>9967</v>
      </c>
      <c r="X781" s="5" t="s">
        <v>9967</v>
      </c>
      <c r="Y781" s="4">
        <v>42</v>
      </c>
      <c r="Z781" s="4">
        <v>40</v>
      </c>
      <c r="AA781" s="4">
        <v>45</v>
      </c>
      <c r="AB781" s="4">
        <v>1</v>
      </c>
      <c r="AC781" s="4">
        <v>1</v>
      </c>
      <c r="AD781" s="4">
        <v>6</v>
      </c>
      <c r="AE781" s="4">
        <v>6</v>
      </c>
      <c r="AF781" s="4">
        <v>0</v>
      </c>
      <c r="AG781" s="4">
        <v>0</v>
      </c>
      <c r="AH781" s="4">
        <v>2</v>
      </c>
      <c r="AI781" s="4">
        <v>2</v>
      </c>
      <c r="AJ781" s="4">
        <v>5</v>
      </c>
      <c r="AK781" s="4">
        <v>5</v>
      </c>
      <c r="AL781" s="4">
        <v>0</v>
      </c>
      <c r="AM781" s="4">
        <v>0</v>
      </c>
      <c r="AN781" s="4">
        <v>0</v>
      </c>
      <c r="AO781" s="4">
        <v>0</v>
      </c>
      <c r="AP781" s="3" t="s">
        <v>58</v>
      </c>
      <c r="AQ781" s="3" t="s">
        <v>58</v>
      </c>
      <c r="AS781" s="6" t="str">
        <f>HYPERLINK("https://creighton-primo.hosted.exlibrisgroup.com/primo-explore/search?tab=default_tab&amp;search_scope=EVERYTHING&amp;vid=01CRU&amp;lang=en_US&amp;offset=0&amp;query=any,contains,991004273299702656","Catalog Record")</f>
        <v>Catalog Record</v>
      </c>
      <c r="AT781" s="6" t="str">
        <f>HYPERLINK("http://www.worldcat.org/oclc/54516556","WorldCat Record")</f>
        <v>WorldCat Record</v>
      </c>
      <c r="AU781" s="3" t="s">
        <v>9968</v>
      </c>
      <c r="AV781" s="3" t="s">
        <v>9969</v>
      </c>
      <c r="AW781" s="3" t="s">
        <v>9970</v>
      </c>
      <c r="AX781" s="3" t="s">
        <v>9970</v>
      </c>
      <c r="AY781" s="3" t="s">
        <v>9971</v>
      </c>
      <c r="AZ781" s="3" t="s">
        <v>75</v>
      </c>
      <c r="BB781" s="3" t="s">
        <v>9972</v>
      </c>
      <c r="BC781" s="3" t="s">
        <v>9973</v>
      </c>
      <c r="BD781" s="3" t="s">
        <v>9974</v>
      </c>
    </row>
    <row r="782" spans="1:56" ht="39" customHeight="1" x14ac:dyDescent="0.25">
      <c r="A782" s="7" t="s">
        <v>58</v>
      </c>
      <c r="B782" s="2" t="s">
        <v>9975</v>
      </c>
      <c r="C782" s="2" t="s">
        <v>9976</v>
      </c>
      <c r="D782" s="2" t="s">
        <v>9977</v>
      </c>
      <c r="F782" s="3" t="s">
        <v>58</v>
      </c>
      <c r="G782" s="3" t="s">
        <v>59</v>
      </c>
      <c r="H782" s="3" t="s">
        <v>58</v>
      </c>
      <c r="I782" s="3" t="s">
        <v>58</v>
      </c>
      <c r="J782" s="3" t="s">
        <v>60</v>
      </c>
      <c r="L782" s="2" t="s">
        <v>9978</v>
      </c>
      <c r="M782" s="3" t="s">
        <v>670</v>
      </c>
      <c r="O782" s="3" t="s">
        <v>65</v>
      </c>
      <c r="P782" s="3" t="s">
        <v>1246</v>
      </c>
      <c r="Q782" s="2" t="s">
        <v>9979</v>
      </c>
      <c r="R782" s="3" t="s">
        <v>68</v>
      </c>
      <c r="S782" s="4">
        <v>4</v>
      </c>
      <c r="T782" s="4">
        <v>4</v>
      </c>
      <c r="U782" s="5" t="s">
        <v>9980</v>
      </c>
      <c r="V782" s="5" t="s">
        <v>9980</v>
      </c>
      <c r="W782" s="5" t="s">
        <v>9759</v>
      </c>
      <c r="X782" s="5" t="s">
        <v>9759</v>
      </c>
      <c r="Y782" s="4">
        <v>643</v>
      </c>
      <c r="Z782" s="4">
        <v>514</v>
      </c>
      <c r="AA782" s="4">
        <v>514</v>
      </c>
      <c r="AB782" s="4">
        <v>3</v>
      </c>
      <c r="AC782" s="4">
        <v>3</v>
      </c>
      <c r="AD782" s="4">
        <v>27</v>
      </c>
      <c r="AE782" s="4">
        <v>27</v>
      </c>
      <c r="AF782" s="4">
        <v>8</v>
      </c>
      <c r="AG782" s="4">
        <v>8</v>
      </c>
      <c r="AH782" s="4">
        <v>7</v>
      </c>
      <c r="AI782" s="4">
        <v>7</v>
      </c>
      <c r="AJ782" s="4">
        <v>17</v>
      </c>
      <c r="AK782" s="4">
        <v>17</v>
      </c>
      <c r="AL782" s="4">
        <v>2</v>
      </c>
      <c r="AM782" s="4">
        <v>2</v>
      </c>
      <c r="AN782" s="4">
        <v>0</v>
      </c>
      <c r="AO782" s="4">
        <v>0</v>
      </c>
      <c r="AP782" s="3" t="s">
        <v>58</v>
      </c>
      <c r="AQ782" s="3" t="s">
        <v>58</v>
      </c>
      <c r="AS782" s="6" t="str">
        <f>HYPERLINK("https://creighton-primo.hosted.exlibrisgroup.com/primo-explore/search?tab=default_tab&amp;search_scope=EVERYTHING&amp;vid=01CRU&amp;lang=en_US&amp;offset=0&amp;query=any,contains,991000672569702656","Catalog Record")</f>
        <v>Catalog Record</v>
      </c>
      <c r="AT782" s="6" t="str">
        <f>HYPERLINK("http://www.worldcat.org/oclc/119313","WorldCat Record")</f>
        <v>WorldCat Record</v>
      </c>
      <c r="AU782" s="3" t="s">
        <v>9981</v>
      </c>
      <c r="AV782" s="3" t="s">
        <v>9982</v>
      </c>
      <c r="AW782" s="3" t="s">
        <v>9983</v>
      </c>
      <c r="AX782" s="3" t="s">
        <v>9983</v>
      </c>
      <c r="AY782" s="3" t="s">
        <v>9984</v>
      </c>
      <c r="AZ782" s="3" t="s">
        <v>75</v>
      </c>
      <c r="BB782" s="3" t="s">
        <v>9985</v>
      </c>
      <c r="BC782" s="3" t="s">
        <v>9986</v>
      </c>
      <c r="BD782" s="3" t="s">
        <v>9987</v>
      </c>
    </row>
    <row r="783" spans="1:56" ht="39" customHeight="1" x14ac:dyDescent="0.25">
      <c r="A783" s="7" t="s">
        <v>58</v>
      </c>
      <c r="B783" s="2" t="s">
        <v>9988</v>
      </c>
      <c r="C783" s="2" t="s">
        <v>9989</v>
      </c>
      <c r="D783" s="2" t="s">
        <v>9990</v>
      </c>
      <c r="F783" s="3" t="s">
        <v>58</v>
      </c>
      <c r="G783" s="3" t="s">
        <v>59</v>
      </c>
      <c r="H783" s="3" t="s">
        <v>58</v>
      </c>
      <c r="I783" s="3" t="s">
        <v>58</v>
      </c>
      <c r="J783" s="3" t="s">
        <v>60</v>
      </c>
      <c r="K783" s="2" t="s">
        <v>9991</v>
      </c>
      <c r="L783" s="2" t="s">
        <v>9992</v>
      </c>
      <c r="M783" s="3" t="s">
        <v>1371</v>
      </c>
      <c r="O783" s="3" t="s">
        <v>65</v>
      </c>
      <c r="P783" s="3" t="s">
        <v>954</v>
      </c>
      <c r="R783" s="3" t="s">
        <v>68</v>
      </c>
      <c r="S783" s="4">
        <v>5</v>
      </c>
      <c r="T783" s="4">
        <v>5</v>
      </c>
      <c r="U783" s="5" t="s">
        <v>9993</v>
      </c>
      <c r="V783" s="5" t="s">
        <v>9993</v>
      </c>
      <c r="W783" s="5" t="s">
        <v>9759</v>
      </c>
      <c r="X783" s="5" t="s">
        <v>9759</v>
      </c>
      <c r="Y783" s="4">
        <v>326</v>
      </c>
      <c r="Z783" s="4">
        <v>313</v>
      </c>
      <c r="AA783" s="4">
        <v>414</v>
      </c>
      <c r="AB783" s="4">
        <v>6</v>
      </c>
      <c r="AC783" s="4">
        <v>7</v>
      </c>
      <c r="AD783" s="4">
        <v>26</v>
      </c>
      <c r="AE783" s="4">
        <v>33</v>
      </c>
      <c r="AF783" s="4">
        <v>8</v>
      </c>
      <c r="AG783" s="4">
        <v>10</v>
      </c>
      <c r="AH783" s="4">
        <v>7</v>
      </c>
      <c r="AI783" s="4">
        <v>8</v>
      </c>
      <c r="AJ783" s="4">
        <v>15</v>
      </c>
      <c r="AK783" s="4">
        <v>20</v>
      </c>
      <c r="AL783" s="4">
        <v>3</v>
      </c>
      <c r="AM783" s="4">
        <v>4</v>
      </c>
      <c r="AN783" s="4">
        <v>0</v>
      </c>
      <c r="AO783" s="4">
        <v>0</v>
      </c>
      <c r="AP783" s="3" t="s">
        <v>58</v>
      </c>
      <c r="AQ783" s="3" t="s">
        <v>58</v>
      </c>
      <c r="AS783" s="6" t="str">
        <f>HYPERLINK("https://creighton-primo.hosted.exlibrisgroup.com/primo-explore/search?tab=default_tab&amp;search_scope=EVERYTHING&amp;vid=01CRU&amp;lang=en_US&amp;offset=0&amp;query=any,contains,991001933579702656","Catalog Record")</f>
        <v>Catalog Record</v>
      </c>
      <c r="AT783" s="6" t="str">
        <f>HYPERLINK("http://www.worldcat.org/oclc/249806","WorldCat Record")</f>
        <v>WorldCat Record</v>
      </c>
      <c r="AU783" s="3" t="s">
        <v>9994</v>
      </c>
      <c r="AV783" s="3" t="s">
        <v>9995</v>
      </c>
      <c r="AW783" s="3" t="s">
        <v>9996</v>
      </c>
      <c r="AX783" s="3" t="s">
        <v>9996</v>
      </c>
      <c r="AY783" s="3" t="s">
        <v>9997</v>
      </c>
      <c r="AZ783" s="3" t="s">
        <v>75</v>
      </c>
      <c r="BC783" s="3" t="s">
        <v>9998</v>
      </c>
      <c r="BD783" s="3" t="s">
        <v>9999</v>
      </c>
    </row>
    <row r="784" spans="1:56" ht="39" customHeight="1" x14ac:dyDescent="0.25">
      <c r="A784" s="7" t="s">
        <v>58</v>
      </c>
      <c r="B784" s="2" t="s">
        <v>10000</v>
      </c>
      <c r="C784" s="2" t="s">
        <v>10001</v>
      </c>
      <c r="D784" s="2" t="s">
        <v>10002</v>
      </c>
      <c r="F784" s="3" t="s">
        <v>58</v>
      </c>
      <c r="G784" s="3" t="s">
        <v>59</v>
      </c>
      <c r="H784" s="3" t="s">
        <v>58</v>
      </c>
      <c r="I784" s="3" t="s">
        <v>58</v>
      </c>
      <c r="J784" s="3" t="s">
        <v>60</v>
      </c>
      <c r="K784" s="2" t="s">
        <v>10003</v>
      </c>
      <c r="L784" s="2" t="s">
        <v>10004</v>
      </c>
      <c r="M784" s="3" t="s">
        <v>63</v>
      </c>
      <c r="N784" s="2" t="s">
        <v>476</v>
      </c>
      <c r="O784" s="3" t="s">
        <v>65</v>
      </c>
      <c r="P784" s="3" t="s">
        <v>186</v>
      </c>
      <c r="R784" s="3" t="s">
        <v>68</v>
      </c>
      <c r="S784" s="4">
        <v>1</v>
      </c>
      <c r="T784" s="4">
        <v>1</v>
      </c>
      <c r="U784" s="5" t="s">
        <v>10005</v>
      </c>
      <c r="V784" s="5" t="s">
        <v>10005</v>
      </c>
      <c r="W784" s="5" t="s">
        <v>10006</v>
      </c>
      <c r="X784" s="5" t="s">
        <v>10006</v>
      </c>
      <c r="Y784" s="4">
        <v>141</v>
      </c>
      <c r="Z784" s="4">
        <v>133</v>
      </c>
      <c r="AA784" s="4">
        <v>197</v>
      </c>
      <c r="AB784" s="4">
        <v>2</v>
      </c>
      <c r="AC784" s="4">
        <v>3</v>
      </c>
      <c r="AD784" s="4">
        <v>25</v>
      </c>
      <c r="AE784" s="4">
        <v>30</v>
      </c>
      <c r="AF784" s="4">
        <v>9</v>
      </c>
      <c r="AG784" s="4">
        <v>9</v>
      </c>
      <c r="AH784" s="4">
        <v>7</v>
      </c>
      <c r="AI784" s="4">
        <v>8</v>
      </c>
      <c r="AJ784" s="4">
        <v>19</v>
      </c>
      <c r="AK784" s="4">
        <v>24</v>
      </c>
      <c r="AL784" s="4">
        <v>0</v>
      </c>
      <c r="AM784" s="4">
        <v>0</v>
      </c>
      <c r="AN784" s="4">
        <v>0</v>
      </c>
      <c r="AO784" s="4">
        <v>0</v>
      </c>
      <c r="AP784" s="3" t="s">
        <v>58</v>
      </c>
      <c r="AQ784" s="3" t="s">
        <v>132</v>
      </c>
      <c r="AR784" s="6" t="str">
        <f>HYPERLINK("http://catalog.hathitrust.org/Record/001414939","HathiTrust Record")</f>
        <v>HathiTrust Record</v>
      </c>
      <c r="AS784" s="6" t="str">
        <f>HYPERLINK("https://creighton-primo.hosted.exlibrisgroup.com/primo-explore/search?tab=default_tab&amp;search_scope=EVERYTHING&amp;vid=01CRU&amp;lang=en_US&amp;offset=0&amp;query=any,contains,991000945909702656","Catalog Record")</f>
        <v>Catalog Record</v>
      </c>
      <c r="AT784" s="6" t="str">
        <f>HYPERLINK("http://www.worldcat.org/oclc/14575256","WorldCat Record")</f>
        <v>WorldCat Record</v>
      </c>
      <c r="AU784" s="3" t="s">
        <v>10007</v>
      </c>
      <c r="AV784" s="3" t="s">
        <v>10008</v>
      </c>
      <c r="AW784" s="3" t="s">
        <v>10009</v>
      </c>
      <c r="AX784" s="3" t="s">
        <v>10009</v>
      </c>
      <c r="AY784" s="3" t="s">
        <v>10010</v>
      </c>
      <c r="AZ784" s="3" t="s">
        <v>75</v>
      </c>
      <c r="BC784" s="3" t="s">
        <v>10011</v>
      </c>
      <c r="BD784" s="3" t="s">
        <v>10012</v>
      </c>
    </row>
    <row r="785" spans="1:56" ht="39" customHeight="1" x14ac:dyDescent="0.25">
      <c r="A785" s="7" t="s">
        <v>58</v>
      </c>
      <c r="B785" s="2" t="s">
        <v>10013</v>
      </c>
      <c r="C785" s="2" t="s">
        <v>10014</v>
      </c>
      <c r="D785" s="2" t="s">
        <v>10015</v>
      </c>
      <c r="F785" s="3" t="s">
        <v>58</v>
      </c>
      <c r="G785" s="3" t="s">
        <v>59</v>
      </c>
      <c r="H785" s="3" t="s">
        <v>58</v>
      </c>
      <c r="I785" s="3" t="s">
        <v>58</v>
      </c>
      <c r="J785" s="3" t="s">
        <v>60</v>
      </c>
      <c r="K785" s="2" t="s">
        <v>10003</v>
      </c>
      <c r="L785" s="2" t="s">
        <v>10016</v>
      </c>
      <c r="M785" s="3" t="s">
        <v>1412</v>
      </c>
      <c r="O785" s="3" t="s">
        <v>65</v>
      </c>
      <c r="P785" s="3" t="s">
        <v>186</v>
      </c>
      <c r="R785" s="3" t="s">
        <v>68</v>
      </c>
      <c r="S785" s="4">
        <v>8</v>
      </c>
      <c r="T785" s="4">
        <v>8</v>
      </c>
      <c r="U785" s="5" t="s">
        <v>10017</v>
      </c>
      <c r="V785" s="5" t="s">
        <v>10017</v>
      </c>
      <c r="W785" s="5" t="s">
        <v>9759</v>
      </c>
      <c r="X785" s="5" t="s">
        <v>9759</v>
      </c>
      <c r="Y785" s="4">
        <v>36</v>
      </c>
      <c r="Z785" s="4">
        <v>36</v>
      </c>
      <c r="AA785" s="4">
        <v>45</v>
      </c>
      <c r="AB785" s="4">
        <v>2</v>
      </c>
      <c r="AC785" s="4">
        <v>2</v>
      </c>
      <c r="AD785" s="4">
        <v>5</v>
      </c>
      <c r="AE785" s="4">
        <v>6</v>
      </c>
      <c r="AF785" s="4">
        <v>1</v>
      </c>
      <c r="AG785" s="4">
        <v>2</v>
      </c>
      <c r="AH785" s="4">
        <v>2</v>
      </c>
      <c r="AI785" s="4">
        <v>2</v>
      </c>
      <c r="AJ785" s="4">
        <v>2</v>
      </c>
      <c r="AK785" s="4">
        <v>3</v>
      </c>
      <c r="AL785" s="4">
        <v>1</v>
      </c>
      <c r="AM785" s="4">
        <v>1</v>
      </c>
      <c r="AN785" s="4">
        <v>0</v>
      </c>
      <c r="AO785" s="4">
        <v>0</v>
      </c>
      <c r="AP785" s="3" t="s">
        <v>58</v>
      </c>
      <c r="AQ785" s="3" t="s">
        <v>58</v>
      </c>
      <c r="AS785" s="6" t="str">
        <f>HYPERLINK("https://creighton-primo.hosted.exlibrisgroup.com/primo-explore/search?tab=default_tab&amp;search_scope=EVERYTHING&amp;vid=01CRU&amp;lang=en_US&amp;offset=0&amp;query=any,contains,991004179529702656","Catalog Record")</f>
        <v>Catalog Record</v>
      </c>
      <c r="AT785" s="6" t="str">
        <f>HYPERLINK("http://www.worldcat.org/oclc/2600300","WorldCat Record")</f>
        <v>WorldCat Record</v>
      </c>
      <c r="AU785" s="3" t="s">
        <v>10018</v>
      </c>
      <c r="AV785" s="3" t="s">
        <v>10019</v>
      </c>
      <c r="AW785" s="3" t="s">
        <v>10020</v>
      </c>
      <c r="AX785" s="3" t="s">
        <v>10020</v>
      </c>
      <c r="AY785" s="3" t="s">
        <v>10021</v>
      </c>
      <c r="AZ785" s="3" t="s">
        <v>75</v>
      </c>
      <c r="BC785" s="3" t="s">
        <v>10022</v>
      </c>
      <c r="BD785" s="3" t="s">
        <v>10023</v>
      </c>
    </row>
    <row r="786" spans="1:56" ht="39" customHeight="1" x14ac:dyDescent="0.25">
      <c r="A786" s="7" t="s">
        <v>58</v>
      </c>
      <c r="B786" s="2" t="s">
        <v>10024</v>
      </c>
      <c r="C786" s="2" t="s">
        <v>10025</v>
      </c>
      <c r="D786" s="2" t="s">
        <v>10026</v>
      </c>
      <c r="F786" s="3" t="s">
        <v>58</v>
      </c>
      <c r="G786" s="3" t="s">
        <v>59</v>
      </c>
      <c r="H786" s="3" t="s">
        <v>58</v>
      </c>
      <c r="I786" s="3" t="s">
        <v>58</v>
      </c>
      <c r="J786" s="3" t="s">
        <v>60</v>
      </c>
      <c r="K786" s="2" t="s">
        <v>10027</v>
      </c>
      <c r="L786" s="2" t="s">
        <v>10028</v>
      </c>
      <c r="M786" s="3" t="s">
        <v>9572</v>
      </c>
      <c r="O786" s="3" t="s">
        <v>65</v>
      </c>
      <c r="P786" s="3" t="s">
        <v>66</v>
      </c>
      <c r="R786" s="3" t="s">
        <v>68</v>
      </c>
      <c r="S786" s="4">
        <v>1</v>
      </c>
      <c r="T786" s="4">
        <v>1</v>
      </c>
      <c r="U786" s="5" t="s">
        <v>10029</v>
      </c>
      <c r="V786" s="5" t="s">
        <v>10029</v>
      </c>
      <c r="W786" s="5" t="s">
        <v>9759</v>
      </c>
      <c r="X786" s="5" t="s">
        <v>9759</v>
      </c>
      <c r="Y786" s="4">
        <v>119</v>
      </c>
      <c r="Z786" s="4">
        <v>88</v>
      </c>
      <c r="AA786" s="4">
        <v>99</v>
      </c>
      <c r="AB786" s="4">
        <v>1</v>
      </c>
      <c r="AC786" s="4">
        <v>1</v>
      </c>
      <c r="AD786" s="4">
        <v>10</v>
      </c>
      <c r="AE786" s="4">
        <v>10</v>
      </c>
      <c r="AF786" s="4">
        <v>2</v>
      </c>
      <c r="AG786" s="4">
        <v>2</v>
      </c>
      <c r="AH786" s="4">
        <v>1</v>
      </c>
      <c r="AI786" s="4">
        <v>1</v>
      </c>
      <c r="AJ786" s="4">
        <v>9</v>
      </c>
      <c r="AK786" s="4">
        <v>9</v>
      </c>
      <c r="AL786" s="4">
        <v>0</v>
      </c>
      <c r="AM786" s="4">
        <v>0</v>
      </c>
      <c r="AN786" s="4">
        <v>0</v>
      </c>
      <c r="AO786" s="4">
        <v>0</v>
      </c>
      <c r="AP786" s="3" t="s">
        <v>132</v>
      </c>
      <c r="AQ786" s="3" t="s">
        <v>58</v>
      </c>
      <c r="AR786" s="6" t="str">
        <f>HYPERLINK("http://catalog.hathitrust.org/Record/100323681","HathiTrust Record")</f>
        <v>HathiTrust Record</v>
      </c>
      <c r="AS786" s="6" t="str">
        <f>HYPERLINK("https://creighton-primo.hosted.exlibrisgroup.com/primo-explore/search?tab=default_tab&amp;search_scope=EVERYTHING&amp;vid=01CRU&amp;lang=en_US&amp;offset=0&amp;query=any,contains,991004258029702656","Catalog Record")</f>
        <v>Catalog Record</v>
      </c>
      <c r="AT786" s="6" t="str">
        <f>HYPERLINK("http://www.worldcat.org/oclc/2832697","WorldCat Record")</f>
        <v>WorldCat Record</v>
      </c>
      <c r="AU786" s="3" t="s">
        <v>10030</v>
      </c>
      <c r="AV786" s="3" t="s">
        <v>10031</v>
      </c>
      <c r="AW786" s="3" t="s">
        <v>10032</v>
      </c>
      <c r="AX786" s="3" t="s">
        <v>10032</v>
      </c>
      <c r="AY786" s="3" t="s">
        <v>10033</v>
      </c>
      <c r="AZ786" s="3" t="s">
        <v>75</v>
      </c>
      <c r="BC786" s="3" t="s">
        <v>10034</v>
      </c>
      <c r="BD786" s="3" t="s">
        <v>10035</v>
      </c>
    </row>
    <row r="787" spans="1:56" ht="39" customHeight="1" x14ac:dyDescent="0.25">
      <c r="A787" s="7" t="s">
        <v>58</v>
      </c>
      <c r="B787" s="2" t="s">
        <v>10036</v>
      </c>
      <c r="C787" s="2" t="s">
        <v>10037</v>
      </c>
      <c r="D787" s="2" t="s">
        <v>10038</v>
      </c>
      <c r="F787" s="3" t="s">
        <v>58</v>
      </c>
      <c r="G787" s="3" t="s">
        <v>59</v>
      </c>
      <c r="H787" s="3" t="s">
        <v>58</v>
      </c>
      <c r="I787" s="3" t="s">
        <v>58</v>
      </c>
      <c r="J787" s="3" t="s">
        <v>60</v>
      </c>
      <c r="K787" s="2" t="s">
        <v>10039</v>
      </c>
      <c r="L787" s="2" t="s">
        <v>2930</v>
      </c>
      <c r="M787" s="3" t="s">
        <v>439</v>
      </c>
      <c r="O787" s="3" t="s">
        <v>65</v>
      </c>
      <c r="P787" s="3" t="s">
        <v>186</v>
      </c>
      <c r="Q787" s="2" t="s">
        <v>10040</v>
      </c>
      <c r="R787" s="3" t="s">
        <v>68</v>
      </c>
      <c r="S787" s="4">
        <v>5</v>
      </c>
      <c r="T787" s="4">
        <v>5</v>
      </c>
      <c r="U787" s="5" t="s">
        <v>10041</v>
      </c>
      <c r="V787" s="5" t="s">
        <v>10041</v>
      </c>
      <c r="W787" s="5" t="s">
        <v>10042</v>
      </c>
      <c r="X787" s="5" t="s">
        <v>10042</v>
      </c>
      <c r="Y787" s="4">
        <v>769</v>
      </c>
      <c r="Z787" s="4">
        <v>686</v>
      </c>
      <c r="AA787" s="4">
        <v>788</v>
      </c>
      <c r="AB787" s="4">
        <v>8</v>
      </c>
      <c r="AC787" s="4">
        <v>8</v>
      </c>
      <c r="AD787" s="4">
        <v>43</v>
      </c>
      <c r="AE787" s="4">
        <v>46</v>
      </c>
      <c r="AF787" s="4">
        <v>18</v>
      </c>
      <c r="AG787" s="4">
        <v>20</v>
      </c>
      <c r="AH787" s="4">
        <v>8</v>
      </c>
      <c r="AI787" s="4">
        <v>8</v>
      </c>
      <c r="AJ787" s="4">
        <v>24</v>
      </c>
      <c r="AK787" s="4">
        <v>25</v>
      </c>
      <c r="AL787" s="4">
        <v>5</v>
      </c>
      <c r="AM787" s="4">
        <v>5</v>
      </c>
      <c r="AN787" s="4">
        <v>0</v>
      </c>
      <c r="AO787" s="4">
        <v>0</v>
      </c>
      <c r="AP787" s="3" t="s">
        <v>58</v>
      </c>
      <c r="AQ787" s="3" t="s">
        <v>132</v>
      </c>
      <c r="AR787" s="6" t="str">
        <f>HYPERLINK("http://catalog.hathitrust.org/Record/000808628","HathiTrust Record")</f>
        <v>HathiTrust Record</v>
      </c>
      <c r="AS787" s="6" t="str">
        <f>HYPERLINK("https://creighton-primo.hosted.exlibrisgroup.com/primo-explore/search?tab=default_tab&amp;search_scope=EVERYTHING&amp;vid=01CRU&amp;lang=en_US&amp;offset=0&amp;query=any,contains,991005030239702656","Catalog Record")</f>
        <v>Catalog Record</v>
      </c>
      <c r="AT787" s="6" t="str">
        <f>HYPERLINK("http://www.worldcat.org/oclc/6709173","WorldCat Record")</f>
        <v>WorldCat Record</v>
      </c>
      <c r="AU787" s="3" t="s">
        <v>10043</v>
      </c>
      <c r="AV787" s="3" t="s">
        <v>10044</v>
      </c>
      <c r="AW787" s="3" t="s">
        <v>10045</v>
      </c>
      <c r="AX787" s="3" t="s">
        <v>10045</v>
      </c>
      <c r="AY787" s="3" t="s">
        <v>10046</v>
      </c>
      <c r="AZ787" s="3" t="s">
        <v>75</v>
      </c>
      <c r="BB787" s="3" t="s">
        <v>10047</v>
      </c>
      <c r="BC787" s="3" t="s">
        <v>10048</v>
      </c>
      <c r="BD787" s="3" t="s">
        <v>10049</v>
      </c>
    </row>
    <row r="788" spans="1:56" ht="39" customHeight="1" x14ac:dyDescent="0.25">
      <c r="A788" s="7" t="s">
        <v>58</v>
      </c>
      <c r="B788" s="2" t="s">
        <v>10050</v>
      </c>
      <c r="C788" s="2" t="s">
        <v>10051</v>
      </c>
      <c r="D788" s="2" t="s">
        <v>10052</v>
      </c>
      <c r="F788" s="3" t="s">
        <v>58</v>
      </c>
      <c r="G788" s="3" t="s">
        <v>59</v>
      </c>
      <c r="H788" s="3" t="s">
        <v>58</v>
      </c>
      <c r="I788" s="3" t="s">
        <v>58</v>
      </c>
      <c r="J788" s="3" t="s">
        <v>60</v>
      </c>
      <c r="K788" s="2" t="s">
        <v>10053</v>
      </c>
      <c r="L788" s="2" t="s">
        <v>10054</v>
      </c>
      <c r="M788" s="3" t="s">
        <v>10055</v>
      </c>
      <c r="O788" s="3" t="s">
        <v>65</v>
      </c>
      <c r="P788" s="3" t="s">
        <v>492</v>
      </c>
      <c r="Q788" s="2" t="s">
        <v>10056</v>
      </c>
      <c r="R788" s="3" t="s">
        <v>68</v>
      </c>
      <c r="S788" s="4">
        <v>2</v>
      </c>
      <c r="T788" s="4">
        <v>2</v>
      </c>
      <c r="U788" s="5" t="s">
        <v>10057</v>
      </c>
      <c r="V788" s="5" t="s">
        <v>10057</v>
      </c>
      <c r="W788" s="5" t="s">
        <v>10042</v>
      </c>
      <c r="X788" s="5" t="s">
        <v>10042</v>
      </c>
      <c r="Y788" s="4">
        <v>27</v>
      </c>
      <c r="Z788" s="4">
        <v>25</v>
      </c>
      <c r="AA788" s="4">
        <v>60</v>
      </c>
      <c r="AB788" s="4">
        <v>1</v>
      </c>
      <c r="AC788" s="4">
        <v>1</v>
      </c>
      <c r="AD788" s="4">
        <v>5</v>
      </c>
      <c r="AE788" s="4">
        <v>7</v>
      </c>
      <c r="AF788" s="4">
        <v>1</v>
      </c>
      <c r="AG788" s="4">
        <v>1</v>
      </c>
      <c r="AH788" s="4">
        <v>0</v>
      </c>
      <c r="AI788" s="4">
        <v>1</v>
      </c>
      <c r="AJ788" s="4">
        <v>4</v>
      </c>
      <c r="AK788" s="4">
        <v>6</v>
      </c>
      <c r="AL788" s="4">
        <v>0</v>
      </c>
      <c r="AM788" s="4">
        <v>0</v>
      </c>
      <c r="AN788" s="4">
        <v>0</v>
      </c>
      <c r="AO788" s="4">
        <v>0</v>
      </c>
      <c r="AP788" s="3" t="s">
        <v>58</v>
      </c>
      <c r="AQ788" s="3" t="s">
        <v>132</v>
      </c>
      <c r="AR788" s="6" t="str">
        <f>HYPERLINK("http://catalog.hathitrust.org/Record/006639585","HathiTrust Record")</f>
        <v>HathiTrust Record</v>
      </c>
      <c r="AS788" s="6" t="str">
        <f>HYPERLINK("https://creighton-primo.hosted.exlibrisgroup.com/primo-explore/search?tab=default_tab&amp;search_scope=EVERYTHING&amp;vid=01CRU&amp;lang=en_US&amp;offset=0&amp;query=any,contains,991004576939702656","Catalog Record")</f>
        <v>Catalog Record</v>
      </c>
      <c r="AT788" s="6" t="str">
        <f>HYPERLINK("http://www.worldcat.org/oclc/4044567","WorldCat Record")</f>
        <v>WorldCat Record</v>
      </c>
      <c r="AU788" s="3" t="s">
        <v>10058</v>
      </c>
      <c r="AV788" s="3" t="s">
        <v>10059</v>
      </c>
      <c r="AW788" s="3" t="s">
        <v>10060</v>
      </c>
      <c r="AX788" s="3" t="s">
        <v>10060</v>
      </c>
      <c r="AY788" s="3" t="s">
        <v>10061</v>
      </c>
      <c r="AZ788" s="3" t="s">
        <v>75</v>
      </c>
      <c r="BC788" s="3" t="s">
        <v>10062</v>
      </c>
      <c r="BD788" s="3" t="s">
        <v>10063</v>
      </c>
    </row>
    <row r="789" spans="1:56" ht="39" customHeight="1" x14ac:dyDescent="0.25">
      <c r="A789" s="7" t="s">
        <v>58</v>
      </c>
      <c r="B789" s="2" t="s">
        <v>10064</v>
      </c>
      <c r="C789" s="2" t="s">
        <v>10065</v>
      </c>
      <c r="D789" s="2" t="s">
        <v>10066</v>
      </c>
      <c r="F789" s="3" t="s">
        <v>58</v>
      </c>
      <c r="G789" s="3" t="s">
        <v>59</v>
      </c>
      <c r="H789" s="3" t="s">
        <v>58</v>
      </c>
      <c r="I789" s="3" t="s">
        <v>58</v>
      </c>
      <c r="J789" s="3" t="s">
        <v>60</v>
      </c>
      <c r="K789" s="2" t="s">
        <v>10053</v>
      </c>
      <c r="L789" s="2" t="s">
        <v>10067</v>
      </c>
      <c r="M789" s="3" t="s">
        <v>427</v>
      </c>
      <c r="N789" s="2" t="s">
        <v>476</v>
      </c>
      <c r="O789" s="3" t="s">
        <v>65</v>
      </c>
      <c r="P789" s="3" t="s">
        <v>186</v>
      </c>
      <c r="R789" s="3" t="s">
        <v>68</v>
      </c>
      <c r="S789" s="4">
        <v>9</v>
      </c>
      <c r="T789" s="4">
        <v>9</v>
      </c>
      <c r="U789" s="5" t="s">
        <v>10068</v>
      </c>
      <c r="V789" s="5" t="s">
        <v>10068</v>
      </c>
      <c r="W789" s="5" t="s">
        <v>10042</v>
      </c>
      <c r="X789" s="5" t="s">
        <v>10042</v>
      </c>
      <c r="Y789" s="4">
        <v>179</v>
      </c>
      <c r="Z789" s="4">
        <v>143</v>
      </c>
      <c r="AA789" s="4">
        <v>591</v>
      </c>
      <c r="AB789" s="4">
        <v>2</v>
      </c>
      <c r="AC789" s="4">
        <v>5</v>
      </c>
      <c r="AD789" s="4">
        <v>16</v>
      </c>
      <c r="AE789" s="4">
        <v>39</v>
      </c>
      <c r="AF789" s="4">
        <v>4</v>
      </c>
      <c r="AG789" s="4">
        <v>18</v>
      </c>
      <c r="AH789" s="4">
        <v>4</v>
      </c>
      <c r="AI789" s="4">
        <v>9</v>
      </c>
      <c r="AJ789" s="4">
        <v>14</v>
      </c>
      <c r="AK789" s="4">
        <v>22</v>
      </c>
      <c r="AL789" s="4">
        <v>0</v>
      </c>
      <c r="AM789" s="4">
        <v>2</v>
      </c>
      <c r="AN789" s="4">
        <v>0</v>
      </c>
      <c r="AO789" s="4">
        <v>0</v>
      </c>
      <c r="AP789" s="3" t="s">
        <v>58</v>
      </c>
      <c r="AQ789" s="3" t="s">
        <v>132</v>
      </c>
      <c r="AR789" s="6" t="str">
        <f>HYPERLINK("http://catalog.hathitrust.org/Record/000262440","HathiTrust Record")</f>
        <v>HathiTrust Record</v>
      </c>
      <c r="AS789" s="6" t="str">
        <f>HYPERLINK("https://creighton-primo.hosted.exlibrisgroup.com/primo-explore/search?tab=default_tab&amp;search_scope=EVERYTHING&amp;vid=01CRU&amp;lang=en_US&amp;offset=0&amp;query=any,contains,991004780089702656","Catalog Record")</f>
        <v>Catalog Record</v>
      </c>
      <c r="AT789" s="6" t="str">
        <f>HYPERLINK("http://www.worldcat.org/oclc/5103237","WorldCat Record")</f>
        <v>WorldCat Record</v>
      </c>
      <c r="AU789" s="3" t="s">
        <v>10069</v>
      </c>
      <c r="AV789" s="3" t="s">
        <v>10070</v>
      </c>
      <c r="AW789" s="3" t="s">
        <v>10071</v>
      </c>
      <c r="AX789" s="3" t="s">
        <v>10071</v>
      </c>
      <c r="AY789" s="3" t="s">
        <v>10072</v>
      </c>
      <c r="AZ789" s="3" t="s">
        <v>75</v>
      </c>
      <c r="BB789" s="3" t="s">
        <v>10073</v>
      </c>
      <c r="BC789" s="3" t="s">
        <v>10074</v>
      </c>
      <c r="BD789" s="3" t="s">
        <v>10075</v>
      </c>
    </row>
    <row r="790" spans="1:56" ht="39" customHeight="1" x14ac:dyDescent="0.25">
      <c r="A790" s="7" t="s">
        <v>58</v>
      </c>
      <c r="B790" s="2" t="s">
        <v>10076</v>
      </c>
      <c r="C790" s="2" t="s">
        <v>10077</v>
      </c>
      <c r="D790" s="2" t="s">
        <v>10078</v>
      </c>
      <c r="F790" s="3" t="s">
        <v>58</v>
      </c>
      <c r="G790" s="3" t="s">
        <v>59</v>
      </c>
      <c r="H790" s="3" t="s">
        <v>58</v>
      </c>
      <c r="I790" s="3" t="s">
        <v>58</v>
      </c>
      <c r="J790" s="3" t="s">
        <v>60</v>
      </c>
      <c r="K790" s="2" t="s">
        <v>10053</v>
      </c>
      <c r="L790" s="2" t="s">
        <v>10079</v>
      </c>
      <c r="M790" s="3" t="s">
        <v>10080</v>
      </c>
      <c r="N790" s="2" t="s">
        <v>10081</v>
      </c>
      <c r="O790" s="3" t="s">
        <v>65</v>
      </c>
      <c r="P790" s="3" t="s">
        <v>66</v>
      </c>
      <c r="R790" s="3" t="s">
        <v>68</v>
      </c>
      <c r="S790" s="4">
        <v>1</v>
      </c>
      <c r="T790" s="4">
        <v>1</v>
      </c>
      <c r="U790" s="5" t="s">
        <v>10068</v>
      </c>
      <c r="V790" s="5" t="s">
        <v>10068</v>
      </c>
      <c r="W790" s="5" t="s">
        <v>10042</v>
      </c>
      <c r="X790" s="5" t="s">
        <v>10042</v>
      </c>
      <c r="Y790" s="4">
        <v>26</v>
      </c>
      <c r="Z790" s="4">
        <v>21</v>
      </c>
      <c r="AA790" s="4">
        <v>1526</v>
      </c>
      <c r="AB790" s="4">
        <v>1</v>
      </c>
      <c r="AC790" s="4">
        <v>21</v>
      </c>
      <c r="AD790" s="4">
        <v>2</v>
      </c>
      <c r="AE790" s="4">
        <v>52</v>
      </c>
      <c r="AF790" s="4">
        <v>0</v>
      </c>
      <c r="AG790" s="4">
        <v>18</v>
      </c>
      <c r="AH790" s="4">
        <v>1</v>
      </c>
      <c r="AI790" s="4">
        <v>11</v>
      </c>
      <c r="AJ790" s="4">
        <v>1</v>
      </c>
      <c r="AK790" s="4">
        <v>17</v>
      </c>
      <c r="AL790" s="4">
        <v>0</v>
      </c>
      <c r="AM790" s="4">
        <v>14</v>
      </c>
      <c r="AN790" s="4">
        <v>0</v>
      </c>
      <c r="AO790" s="4">
        <v>1</v>
      </c>
      <c r="AP790" s="3" t="s">
        <v>132</v>
      </c>
      <c r="AQ790" s="3" t="s">
        <v>58</v>
      </c>
      <c r="AR790" s="6" t="str">
        <f>HYPERLINK("http://catalog.hathitrust.org/Record/012478780","HathiTrust Record")</f>
        <v>HathiTrust Record</v>
      </c>
      <c r="AS790" s="6" t="str">
        <f>HYPERLINK("https://creighton-primo.hosted.exlibrisgroup.com/primo-explore/search?tab=default_tab&amp;search_scope=EVERYTHING&amp;vid=01CRU&amp;lang=en_US&amp;offset=0&amp;query=any,contains,991000199379702656","Catalog Record")</f>
        <v>Catalog Record</v>
      </c>
      <c r="AT790" s="6" t="str">
        <f>HYPERLINK("http://www.worldcat.org/oclc/9457268","WorldCat Record")</f>
        <v>WorldCat Record</v>
      </c>
      <c r="AU790" s="3" t="s">
        <v>10082</v>
      </c>
      <c r="AV790" s="3" t="s">
        <v>10083</v>
      </c>
      <c r="AW790" s="3" t="s">
        <v>10084</v>
      </c>
      <c r="AX790" s="3" t="s">
        <v>10084</v>
      </c>
      <c r="AY790" s="3" t="s">
        <v>10085</v>
      </c>
      <c r="AZ790" s="3" t="s">
        <v>75</v>
      </c>
      <c r="BC790" s="3" t="s">
        <v>10086</v>
      </c>
      <c r="BD790" s="3" t="s">
        <v>10087</v>
      </c>
    </row>
    <row r="791" spans="1:56" ht="39" customHeight="1" x14ac:dyDescent="0.25">
      <c r="A791" s="7" t="s">
        <v>58</v>
      </c>
      <c r="B791" s="2" t="s">
        <v>10088</v>
      </c>
      <c r="C791" s="2" t="s">
        <v>10089</v>
      </c>
      <c r="D791" s="2" t="s">
        <v>10090</v>
      </c>
      <c r="F791" s="3" t="s">
        <v>58</v>
      </c>
      <c r="G791" s="3" t="s">
        <v>59</v>
      </c>
      <c r="H791" s="3" t="s">
        <v>58</v>
      </c>
      <c r="I791" s="3" t="s">
        <v>58</v>
      </c>
      <c r="J791" s="3" t="s">
        <v>60</v>
      </c>
      <c r="K791" s="2" t="s">
        <v>10091</v>
      </c>
      <c r="L791" s="2" t="s">
        <v>10092</v>
      </c>
      <c r="M791" s="3" t="s">
        <v>831</v>
      </c>
      <c r="N791" s="2" t="s">
        <v>10093</v>
      </c>
      <c r="O791" s="3" t="s">
        <v>65</v>
      </c>
      <c r="P791" s="3" t="s">
        <v>1358</v>
      </c>
      <c r="Q791" s="2" t="s">
        <v>10094</v>
      </c>
      <c r="R791" s="3" t="s">
        <v>68</v>
      </c>
      <c r="S791" s="4">
        <v>9</v>
      </c>
      <c r="T791" s="4">
        <v>9</v>
      </c>
      <c r="U791" s="5" t="s">
        <v>10095</v>
      </c>
      <c r="V791" s="5" t="s">
        <v>10095</v>
      </c>
      <c r="W791" s="5" t="s">
        <v>10096</v>
      </c>
      <c r="X791" s="5" t="s">
        <v>10096</v>
      </c>
      <c r="Y791" s="4">
        <v>95</v>
      </c>
      <c r="Z791" s="4">
        <v>84</v>
      </c>
      <c r="AA791" s="4">
        <v>156</v>
      </c>
      <c r="AB791" s="4">
        <v>2</v>
      </c>
      <c r="AC791" s="4">
        <v>2</v>
      </c>
      <c r="AD791" s="4">
        <v>12</v>
      </c>
      <c r="AE791" s="4">
        <v>21</v>
      </c>
      <c r="AF791" s="4">
        <v>3</v>
      </c>
      <c r="AG791" s="4">
        <v>6</v>
      </c>
      <c r="AH791" s="4">
        <v>2</v>
      </c>
      <c r="AI791" s="4">
        <v>5</v>
      </c>
      <c r="AJ791" s="4">
        <v>8</v>
      </c>
      <c r="AK791" s="4">
        <v>14</v>
      </c>
      <c r="AL791" s="4">
        <v>1</v>
      </c>
      <c r="AM791" s="4">
        <v>1</v>
      </c>
      <c r="AN791" s="4">
        <v>0</v>
      </c>
      <c r="AO791" s="4">
        <v>0</v>
      </c>
      <c r="AP791" s="3" t="s">
        <v>58</v>
      </c>
      <c r="AQ791" s="3" t="s">
        <v>58</v>
      </c>
      <c r="AS791" s="6" t="str">
        <f>HYPERLINK("https://creighton-primo.hosted.exlibrisgroup.com/primo-explore/search?tab=default_tab&amp;search_scope=EVERYTHING&amp;vid=01CRU&amp;lang=en_US&amp;offset=0&amp;query=any,contains,991003882849702656","Catalog Record")</f>
        <v>Catalog Record</v>
      </c>
      <c r="AT791" s="6" t="str">
        <f>HYPERLINK("http://www.worldcat.org/oclc/1732414","WorldCat Record")</f>
        <v>WorldCat Record</v>
      </c>
      <c r="AU791" s="3" t="s">
        <v>10097</v>
      </c>
      <c r="AV791" s="3" t="s">
        <v>10098</v>
      </c>
      <c r="AW791" s="3" t="s">
        <v>10099</v>
      </c>
      <c r="AX791" s="3" t="s">
        <v>10099</v>
      </c>
      <c r="AY791" s="3" t="s">
        <v>10100</v>
      </c>
      <c r="AZ791" s="3" t="s">
        <v>75</v>
      </c>
      <c r="BC791" s="3" t="s">
        <v>10101</v>
      </c>
      <c r="BD791" s="3" t="s">
        <v>10102</v>
      </c>
    </row>
    <row r="792" spans="1:56" ht="39" customHeight="1" x14ac:dyDescent="0.25">
      <c r="A792" s="7" t="s">
        <v>58</v>
      </c>
      <c r="B792" s="2" t="s">
        <v>10103</v>
      </c>
      <c r="C792" s="2" t="s">
        <v>10104</v>
      </c>
      <c r="D792" s="2" t="s">
        <v>10105</v>
      </c>
      <c r="F792" s="3" t="s">
        <v>58</v>
      </c>
      <c r="G792" s="3" t="s">
        <v>59</v>
      </c>
      <c r="H792" s="3" t="s">
        <v>58</v>
      </c>
      <c r="I792" s="3" t="s">
        <v>58</v>
      </c>
      <c r="J792" s="3" t="s">
        <v>60</v>
      </c>
      <c r="K792" s="2" t="s">
        <v>10106</v>
      </c>
      <c r="L792" s="2" t="s">
        <v>8378</v>
      </c>
      <c r="M792" s="3" t="s">
        <v>229</v>
      </c>
      <c r="O792" s="3" t="s">
        <v>65</v>
      </c>
      <c r="P792" s="3" t="s">
        <v>186</v>
      </c>
      <c r="R792" s="3" t="s">
        <v>68</v>
      </c>
      <c r="S792" s="4">
        <v>1</v>
      </c>
      <c r="T792" s="4">
        <v>1</v>
      </c>
      <c r="U792" s="5" t="s">
        <v>10107</v>
      </c>
      <c r="V792" s="5" t="s">
        <v>10107</v>
      </c>
      <c r="W792" s="5" t="s">
        <v>10108</v>
      </c>
      <c r="X792" s="5" t="s">
        <v>10108</v>
      </c>
      <c r="Y792" s="4">
        <v>40</v>
      </c>
      <c r="Z792" s="4">
        <v>31</v>
      </c>
      <c r="AA792" s="4">
        <v>32</v>
      </c>
      <c r="AB792" s="4">
        <v>2</v>
      </c>
      <c r="AC792" s="4">
        <v>2</v>
      </c>
      <c r="AD792" s="4">
        <v>4</v>
      </c>
      <c r="AE792" s="4">
        <v>4</v>
      </c>
      <c r="AF792" s="4">
        <v>0</v>
      </c>
      <c r="AG792" s="4">
        <v>0</v>
      </c>
      <c r="AH792" s="4">
        <v>0</v>
      </c>
      <c r="AI792" s="4">
        <v>0</v>
      </c>
      <c r="AJ792" s="4">
        <v>4</v>
      </c>
      <c r="AK792" s="4">
        <v>4</v>
      </c>
      <c r="AL792" s="4">
        <v>0</v>
      </c>
      <c r="AM792" s="4">
        <v>0</v>
      </c>
      <c r="AN792" s="4">
        <v>0</v>
      </c>
      <c r="AO792" s="4">
        <v>0</v>
      </c>
      <c r="AP792" s="3" t="s">
        <v>58</v>
      </c>
      <c r="AQ792" s="3" t="s">
        <v>58</v>
      </c>
      <c r="AS792" s="6" t="str">
        <f>HYPERLINK("https://creighton-primo.hosted.exlibrisgroup.com/primo-explore/search?tab=default_tab&amp;search_scope=EVERYTHING&amp;vid=01CRU&amp;lang=en_US&amp;offset=0&amp;query=any,contains,991001734579702656","Catalog Record")</f>
        <v>Catalog Record</v>
      </c>
      <c r="AT792" s="6" t="str">
        <f>HYPERLINK("http://www.worldcat.org/oclc/21962637","WorldCat Record")</f>
        <v>WorldCat Record</v>
      </c>
      <c r="AU792" s="3" t="s">
        <v>10109</v>
      </c>
      <c r="AV792" s="3" t="s">
        <v>10110</v>
      </c>
      <c r="AW792" s="3" t="s">
        <v>10111</v>
      </c>
      <c r="AX792" s="3" t="s">
        <v>10111</v>
      </c>
      <c r="AY792" s="3" t="s">
        <v>10112</v>
      </c>
      <c r="AZ792" s="3" t="s">
        <v>75</v>
      </c>
      <c r="BB792" s="3" t="s">
        <v>10113</v>
      </c>
      <c r="BC792" s="3" t="s">
        <v>10114</v>
      </c>
      <c r="BD792" s="3" t="s">
        <v>10115</v>
      </c>
    </row>
    <row r="793" spans="1:56" ht="39" customHeight="1" x14ac:dyDescent="0.25">
      <c r="A793" s="7" t="s">
        <v>58</v>
      </c>
      <c r="B793" s="2" t="s">
        <v>10116</v>
      </c>
      <c r="C793" s="2" t="s">
        <v>10117</v>
      </c>
      <c r="D793" s="2" t="s">
        <v>10118</v>
      </c>
      <c r="F793" s="3" t="s">
        <v>58</v>
      </c>
      <c r="G793" s="3" t="s">
        <v>59</v>
      </c>
      <c r="H793" s="3" t="s">
        <v>58</v>
      </c>
      <c r="I793" s="3" t="s">
        <v>58</v>
      </c>
      <c r="J793" s="3" t="s">
        <v>60</v>
      </c>
      <c r="K793" s="2" t="s">
        <v>10119</v>
      </c>
      <c r="L793" s="2" t="s">
        <v>10120</v>
      </c>
      <c r="M793" s="3" t="s">
        <v>415</v>
      </c>
      <c r="O793" s="3" t="s">
        <v>65</v>
      </c>
      <c r="P793" s="3" t="s">
        <v>3202</v>
      </c>
      <c r="R793" s="3" t="s">
        <v>68</v>
      </c>
      <c r="S793" s="4">
        <v>6</v>
      </c>
      <c r="T793" s="4">
        <v>6</v>
      </c>
      <c r="U793" s="5" t="s">
        <v>10068</v>
      </c>
      <c r="V793" s="5" t="s">
        <v>10068</v>
      </c>
      <c r="W793" s="5" t="s">
        <v>10042</v>
      </c>
      <c r="X793" s="5" t="s">
        <v>10042</v>
      </c>
      <c r="Y793" s="4">
        <v>651</v>
      </c>
      <c r="Z793" s="4">
        <v>560</v>
      </c>
      <c r="AA793" s="4">
        <v>568</v>
      </c>
      <c r="AB793" s="4">
        <v>6</v>
      </c>
      <c r="AC793" s="4">
        <v>6</v>
      </c>
      <c r="AD793" s="4">
        <v>35</v>
      </c>
      <c r="AE793" s="4">
        <v>35</v>
      </c>
      <c r="AF793" s="4">
        <v>11</v>
      </c>
      <c r="AG793" s="4">
        <v>11</v>
      </c>
      <c r="AH793" s="4">
        <v>8</v>
      </c>
      <c r="AI793" s="4">
        <v>8</v>
      </c>
      <c r="AJ793" s="4">
        <v>20</v>
      </c>
      <c r="AK793" s="4">
        <v>20</v>
      </c>
      <c r="AL793" s="4">
        <v>5</v>
      </c>
      <c r="AM793" s="4">
        <v>5</v>
      </c>
      <c r="AN793" s="4">
        <v>0</v>
      </c>
      <c r="AO793" s="4">
        <v>0</v>
      </c>
      <c r="AP793" s="3" t="s">
        <v>58</v>
      </c>
      <c r="AQ793" s="3" t="s">
        <v>132</v>
      </c>
      <c r="AR793" s="6" t="str">
        <f>HYPERLINK("http://catalog.hathitrust.org/Record/001414948","HathiTrust Record")</f>
        <v>HathiTrust Record</v>
      </c>
      <c r="AS793" s="6" t="str">
        <f>HYPERLINK("https://creighton-primo.hosted.exlibrisgroup.com/primo-explore/search?tab=default_tab&amp;search_scope=EVERYTHING&amp;vid=01CRU&amp;lang=en_US&amp;offset=0&amp;query=any,contains,991002645099702656","Catalog Record")</f>
        <v>Catalog Record</v>
      </c>
      <c r="AT793" s="6" t="str">
        <f>HYPERLINK("http://www.worldcat.org/oclc/385621","WorldCat Record")</f>
        <v>WorldCat Record</v>
      </c>
      <c r="AU793" s="3" t="s">
        <v>10121</v>
      </c>
      <c r="AV793" s="3" t="s">
        <v>10122</v>
      </c>
      <c r="AW793" s="3" t="s">
        <v>10123</v>
      </c>
      <c r="AX793" s="3" t="s">
        <v>10123</v>
      </c>
      <c r="AY793" s="3" t="s">
        <v>10124</v>
      </c>
      <c r="AZ793" s="3" t="s">
        <v>75</v>
      </c>
      <c r="BC793" s="3" t="s">
        <v>10125</v>
      </c>
      <c r="BD793" s="3" t="s">
        <v>10126</v>
      </c>
    </row>
    <row r="794" spans="1:56" ht="39" customHeight="1" x14ac:dyDescent="0.25">
      <c r="A794" s="7" t="s">
        <v>58</v>
      </c>
      <c r="B794" s="2" t="s">
        <v>10127</v>
      </c>
      <c r="C794" s="2" t="s">
        <v>10128</v>
      </c>
      <c r="D794" s="2" t="s">
        <v>10129</v>
      </c>
      <c r="F794" s="3" t="s">
        <v>58</v>
      </c>
      <c r="G794" s="3" t="s">
        <v>59</v>
      </c>
      <c r="H794" s="3" t="s">
        <v>58</v>
      </c>
      <c r="I794" s="3" t="s">
        <v>58</v>
      </c>
      <c r="J794" s="3" t="s">
        <v>60</v>
      </c>
      <c r="K794" s="2" t="s">
        <v>10130</v>
      </c>
      <c r="L794" s="2" t="s">
        <v>10131</v>
      </c>
      <c r="M794" s="3" t="s">
        <v>4653</v>
      </c>
      <c r="O794" s="3" t="s">
        <v>65</v>
      </c>
      <c r="P794" s="3" t="s">
        <v>186</v>
      </c>
      <c r="R794" s="3" t="s">
        <v>68</v>
      </c>
      <c r="S794" s="4">
        <v>1</v>
      </c>
      <c r="T794" s="4">
        <v>1</v>
      </c>
      <c r="U794" s="5" t="s">
        <v>3343</v>
      </c>
      <c r="V794" s="5" t="s">
        <v>3343</v>
      </c>
      <c r="W794" s="5" t="s">
        <v>3343</v>
      </c>
      <c r="X794" s="5" t="s">
        <v>3343</v>
      </c>
      <c r="Y794" s="4">
        <v>258</v>
      </c>
      <c r="Z794" s="4">
        <v>253</v>
      </c>
      <c r="AA794" s="4">
        <v>446</v>
      </c>
      <c r="AB794" s="4">
        <v>2</v>
      </c>
      <c r="AC794" s="4">
        <v>4</v>
      </c>
      <c r="AD794" s="4">
        <v>5</v>
      </c>
      <c r="AE794" s="4">
        <v>8</v>
      </c>
      <c r="AF794" s="4">
        <v>3</v>
      </c>
      <c r="AG794" s="4">
        <v>5</v>
      </c>
      <c r="AH794" s="4">
        <v>1</v>
      </c>
      <c r="AI794" s="4">
        <v>1</v>
      </c>
      <c r="AJ794" s="4">
        <v>1</v>
      </c>
      <c r="AK794" s="4">
        <v>1</v>
      </c>
      <c r="AL794" s="4">
        <v>0</v>
      </c>
      <c r="AM794" s="4">
        <v>1</v>
      </c>
      <c r="AN794" s="4">
        <v>0</v>
      </c>
      <c r="AO794" s="4">
        <v>0</v>
      </c>
      <c r="AP794" s="3" t="s">
        <v>58</v>
      </c>
      <c r="AQ794" s="3" t="s">
        <v>132</v>
      </c>
      <c r="AR794" s="6" t="str">
        <f>HYPERLINK("http://catalog.hathitrust.org/Record/101873629","HathiTrust Record")</f>
        <v>HathiTrust Record</v>
      </c>
      <c r="AS794" s="6" t="str">
        <f>HYPERLINK("https://creighton-primo.hosted.exlibrisgroup.com/primo-explore/search?tab=default_tab&amp;search_scope=EVERYTHING&amp;vid=01CRU&amp;lang=en_US&amp;offset=0&amp;query=any,contains,991005328469702656","Catalog Record")</f>
        <v>Catalog Record</v>
      </c>
      <c r="AT794" s="6" t="str">
        <f>HYPERLINK("http://www.worldcat.org/oclc/513802","WorldCat Record")</f>
        <v>WorldCat Record</v>
      </c>
      <c r="AU794" s="3" t="s">
        <v>10132</v>
      </c>
      <c r="AV794" s="3" t="s">
        <v>10133</v>
      </c>
      <c r="AW794" s="3" t="s">
        <v>10134</v>
      </c>
      <c r="AX794" s="3" t="s">
        <v>10134</v>
      </c>
      <c r="AY794" s="3" t="s">
        <v>10135</v>
      </c>
      <c r="AZ794" s="3" t="s">
        <v>75</v>
      </c>
      <c r="BC794" s="3" t="s">
        <v>10136</v>
      </c>
      <c r="BD794" s="3" t="s">
        <v>10137</v>
      </c>
    </row>
    <row r="795" spans="1:56" ht="39" customHeight="1" x14ac:dyDescent="0.25">
      <c r="A795" s="7" t="s">
        <v>58</v>
      </c>
      <c r="B795" s="2" t="s">
        <v>10138</v>
      </c>
      <c r="C795" s="2" t="s">
        <v>10139</v>
      </c>
      <c r="D795" s="2" t="s">
        <v>10140</v>
      </c>
      <c r="F795" s="3" t="s">
        <v>58</v>
      </c>
      <c r="G795" s="3" t="s">
        <v>59</v>
      </c>
      <c r="H795" s="3" t="s">
        <v>58</v>
      </c>
      <c r="I795" s="3" t="s">
        <v>58</v>
      </c>
      <c r="J795" s="3" t="s">
        <v>60</v>
      </c>
      <c r="K795" s="2" t="s">
        <v>10141</v>
      </c>
      <c r="L795" s="2" t="s">
        <v>10142</v>
      </c>
      <c r="M795" s="3" t="s">
        <v>1412</v>
      </c>
      <c r="O795" s="3" t="s">
        <v>65</v>
      </c>
      <c r="P795" s="3" t="s">
        <v>186</v>
      </c>
      <c r="R795" s="3" t="s">
        <v>68</v>
      </c>
      <c r="S795" s="4">
        <v>1</v>
      </c>
      <c r="T795" s="4">
        <v>1</v>
      </c>
      <c r="U795" s="5" t="s">
        <v>3830</v>
      </c>
      <c r="V795" s="5" t="s">
        <v>3830</v>
      </c>
      <c r="W795" s="5" t="s">
        <v>3830</v>
      </c>
      <c r="X795" s="5" t="s">
        <v>3830</v>
      </c>
      <c r="Y795" s="4">
        <v>247</v>
      </c>
      <c r="Z795" s="4">
        <v>228</v>
      </c>
      <c r="AA795" s="4">
        <v>253</v>
      </c>
      <c r="AB795" s="4">
        <v>5</v>
      </c>
      <c r="AC795" s="4">
        <v>5</v>
      </c>
      <c r="AD795" s="4">
        <v>7</v>
      </c>
      <c r="AE795" s="4">
        <v>8</v>
      </c>
      <c r="AF795" s="4">
        <v>3</v>
      </c>
      <c r="AG795" s="4">
        <v>3</v>
      </c>
      <c r="AH795" s="4">
        <v>1</v>
      </c>
      <c r="AI795" s="4">
        <v>1</v>
      </c>
      <c r="AJ795" s="4">
        <v>1</v>
      </c>
      <c r="AK795" s="4">
        <v>2</v>
      </c>
      <c r="AL795" s="4">
        <v>3</v>
      </c>
      <c r="AM795" s="4">
        <v>3</v>
      </c>
      <c r="AN795" s="4">
        <v>0</v>
      </c>
      <c r="AO795" s="4">
        <v>0</v>
      </c>
      <c r="AP795" s="3" t="s">
        <v>58</v>
      </c>
      <c r="AQ795" s="3" t="s">
        <v>58</v>
      </c>
      <c r="AS795" s="6" t="str">
        <f>HYPERLINK("https://creighton-primo.hosted.exlibrisgroup.com/primo-explore/search?tab=default_tab&amp;search_scope=EVERYTHING&amp;vid=01CRU&amp;lang=en_US&amp;offset=0&amp;query=any,contains,991000017049702656","Catalog Record")</f>
        <v>Catalog Record</v>
      </c>
      <c r="AT795" s="6" t="str">
        <f>HYPERLINK("http://www.worldcat.org/oclc/1238017","WorldCat Record")</f>
        <v>WorldCat Record</v>
      </c>
      <c r="AU795" s="3" t="s">
        <v>10143</v>
      </c>
      <c r="AV795" s="3" t="s">
        <v>10144</v>
      </c>
      <c r="AW795" s="3" t="s">
        <v>10145</v>
      </c>
      <c r="AX795" s="3" t="s">
        <v>10145</v>
      </c>
      <c r="AY795" s="3" t="s">
        <v>10146</v>
      </c>
      <c r="AZ795" s="3" t="s">
        <v>75</v>
      </c>
      <c r="BC795" s="3" t="s">
        <v>10147</v>
      </c>
      <c r="BD795" s="3" t="s">
        <v>10148</v>
      </c>
    </row>
    <row r="796" spans="1:56" ht="39" customHeight="1" x14ac:dyDescent="0.25">
      <c r="A796" s="7" t="s">
        <v>58</v>
      </c>
      <c r="B796" s="2" t="s">
        <v>10149</v>
      </c>
      <c r="C796" s="2" t="s">
        <v>10150</v>
      </c>
      <c r="D796" s="2" t="s">
        <v>10151</v>
      </c>
      <c r="F796" s="3" t="s">
        <v>58</v>
      </c>
      <c r="G796" s="3" t="s">
        <v>59</v>
      </c>
      <c r="H796" s="3" t="s">
        <v>58</v>
      </c>
      <c r="I796" s="3" t="s">
        <v>58</v>
      </c>
      <c r="J796" s="3" t="s">
        <v>60</v>
      </c>
      <c r="K796" s="2" t="s">
        <v>10152</v>
      </c>
      <c r="L796" s="2" t="s">
        <v>10153</v>
      </c>
      <c r="M796" s="3" t="s">
        <v>128</v>
      </c>
      <c r="O796" s="3" t="s">
        <v>65</v>
      </c>
      <c r="P796" s="3" t="s">
        <v>346</v>
      </c>
      <c r="R796" s="3" t="s">
        <v>68</v>
      </c>
      <c r="S796" s="4">
        <v>1</v>
      </c>
      <c r="T796" s="4">
        <v>1</v>
      </c>
      <c r="U796" s="5" t="s">
        <v>1034</v>
      </c>
      <c r="V796" s="5" t="s">
        <v>1034</v>
      </c>
      <c r="W796" s="5" t="s">
        <v>1034</v>
      </c>
      <c r="X796" s="5" t="s">
        <v>1034</v>
      </c>
      <c r="Y796" s="4">
        <v>66</v>
      </c>
      <c r="Z796" s="4">
        <v>53</v>
      </c>
      <c r="AA796" s="4">
        <v>94</v>
      </c>
      <c r="AB796" s="4">
        <v>2</v>
      </c>
      <c r="AC796" s="4">
        <v>2</v>
      </c>
      <c r="AD796" s="4">
        <v>3</v>
      </c>
      <c r="AE796" s="4">
        <v>5</v>
      </c>
      <c r="AF796" s="4">
        <v>0</v>
      </c>
      <c r="AG796" s="4">
        <v>2</v>
      </c>
      <c r="AH796" s="4">
        <v>1</v>
      </c>
      <c r="AI796" s="4">
        <v>1</v>
      </c>
      <c r="AJ796" s="4">
        <v>1</v>
      </c>
      <c r="AK796" s="4">
        <v>2</v>
      </c>
      <c r="AL796" s="4">
        <v>1</v>
      </c>
      <c r="AM796" s="4">
        <v>1</v>
      </c>
      <c r="AN796" s="4">
        <v>0</v>
      </c>
      <c r="AO796" s="4">
        <v>0</v>
      </c>
      <c r="AP796" s="3" t="s">
        <v>58</v>
      </c>
      <c r="AQ796" s="3" t="s">
        <v>58</v>
      </c>
      <c r="AS796" s="6" t="str">
        <f>HYPERLINK("https://creighton-primo.hosted.exlibrisgroup.com/primo-explore/search?tab=default_tab&amp;search_scope=EVERYTHING&amp;vid=01CRU&amp;lang=en_US&amp;offset=0&amp;query=any,contains,991005090479702656","Catalog Record")</f>
        <v>Catalog Record</v>
      </c>
      <c r="AT796" s="6" t="str">
        <f>HYPERLINK("http://www.worldcat.org/oclc/3631395","WorldCat Record")</f>
        <v>WorldCat Record</v>
      </c>
      <c r="AU796" s="3" t="s">
        <v>10154</v>
      </c>
      <c r="AV796" s="3" t="s">
        <v>10155</v>
      </c>
      <c r="AW796" s="3" t="s">
        <v>10156</v>
      </c>
      <c r="AX796" s="3" t="s">
        <v>10156</v>
      </c>
      <c r="AY796" s="3" t="s">
        <v>10157</v>
      </c>
      <c r="AZ796" s="3" t="s">
        <v>75</v>
      </c>
      <c r="BC796" s="3" t="s">
        <v>10158</v>
      </c>
      <c r="BD796" s="3" t="s">
        <v>10159</v>
      </c>
    </row>
    <row r="797" spans="1:56" ht="39" customHeight="1" x14ac:dyDescent="0.25">
      <c r="A797" s="7" t="s">
        <v>58</v>
      </c>
      <c r="B797" s="2" t="s">
        <v>10160</v>
      </c>
      <c r="C797" s="2" t="s">
        <v>10161</v>
      </c>
      <c r="D797" s="2" t="s">
        <v>10162</v>
      </c>
      <c r="F797" s="3" t="s">
        <v>58</v>
      </c>
      <c r="G797" s="3" t="s">
        <v>59</v>
      </c>
      <c r="H797" s="3" t="s">
        <v>58</v>
      </c>
      <c r="I797" s="3" t="s">
        <v>58</v>
      </c>
      <c r="J797" s="3" t="s">
        <v>60</v>
      </c>
      <c r="K797" s="2" t="s">
        <v>2416</v>
      </c>
      <c r="L797" s="2" t="s">
        <v>7581</v>
      </c>
      <c r="M797" s="3" t="s">
        <v>215</v>
      </c>
      <c r="O797" s="3" t="s">
        <v>65</v>
      </c>
      <c r="P797" s="3" t="s">
        <v>304</v>
      </c>
      <c r="R797" s="3" t="s">
        <v>68</v>
      </c>
      <c r="S797" s="4">
        <v>1</v>
      </c>
      <c r="T797" s="4">
        <v>1</v>
      </c>
      <c r="U797" s="5" t="s">
        <v>10163</v>
      </c>
      <c r="V797" s="5" t="s">
        <v>10163</v>
      </c>
      <c r="W797" s="5" t="s">
        <v>9771</v>
      </c>
      <c r="X797" s="5" t="s">
        <v>9771</v>
      </c>
      <c r="Y797" s="4">
        <v>115</v>
      </c>
      <c r="Z797" s="4">
        <v>102</v>
      </c>
      <c r="AA797" s="4">
        <v>108</v>
      </c>
      <c r="AB797" s="4">
        <v>2</v>
      </c>
      <c r="AC797" s="4">
        <v>2</v>
      </c>
      <c r="AD797" s="4">
        <v>8</v>
      </c>
      <c r="AE797" s="4">
        <v>8</v>
      </c>
      <c r="AF797" s="4">
        <v>1</v>
      </c>
      <c r="AG797" s="4">
        <v>1</v>
      </c>
      <c r="AH797" s="4">
        <v>1</v>
      </c>
      <c r="AI797" s="4">
        <v>1</v>
      </c>
      <c r="AJ797" s="4">
        <v>7</v>
      </c>
      <c r="AK797" s="4">
        <v>7</v>
      </c>
      <c r="AL797" s="4">
        <v>0</v>
      </c>
      <c r="AM797" s="4">
        <v>0</v>
      </c>
      <c r="AN797" s="4">
        <v>0</v>
      </c>
      <c r="AO797" s="4">
        <v>0</v>
      </c>
      <c r="AP797" s="3" t="s">
        <v>58</v>
      </c>
      <c r="AQ797" s="3" t="s">
        <v>58</v>
      </c>
      <c r="AS797" s="6" t="str">
        <f>HYPERLINK("https://creighton-primo.hosted.exlibrisgroup.com/primo-explore/search?tab=default_tab&amp;search_scope=EVERYTHING&amp;vid=01CRU&amp;lang=en_US&amp;offset=0&amp;query=any,contains,991001156419702656","Catalog Record")</f>
        <v>Catalog Record</v>
      </c>
      <c r="AT797" s="6" t="str">
        <f>HYPERLINK("http://www.worldcat.org/oclc/18073293","WorldCat Record")</f>
        <v>WorldCat Record</v>
      </c>
      <c r="AU797" s="3" t="s">
        <v>10164</v>
      </c>
      <c r="AV797" s="3" t="s">
        <v>10165</v>
      </c>
      <c r="AW797" s="3" t="s">
        <v>10166</v>
      </c>
      <c r="AX797" s="3" t="s">
        <v>10166</v>
      </c>
      <c r="AY797" s="3" t="s">
        <v>10167</v>
      </c>
      <c r="AZ797" s="3" t="s">
        <v>75</v>
      </c>
      <c r="BC797" s="3" t="s">
        <v>10168</v>
      </c>
      <c r="BD797" s="3" t="s">
        <v>10169</v>
      </c>
    </row>
    <row r="798" spans="1:56" ht="39" customHeight="1" x14ac:dyDescent="0.25">
      <c r="A798" s="7" t="s">
        <v>58</v>
      </c>
      <c r="B798" s="2" t="s">
        <v>10170</v>
      </c>
      <c r="C798" s="2" t="s">
        <v>10171</v>
      </c>
      <c r="D798" s="2" t="s">
        <v>10172</v>
      </c>
      <c r="F798" s="3" t="s">
        <v>58</v>
      </c>
      <c r="G798" s="3" t="s">
        <v>59</v>
      </c>
      <c r="H798" s="3" t="s">
        <v>58</v>
      </c>
      <c r="I798" s="3" t="s">
        <v>58</v>
      </c>
      <c r="J798" s="3" t="s">
        <v>60</v>
      </c>
      <c r="K798" s="2" t="s">
        <v>10173</v>
      </c>
      <c r="L798" s="2" t="s">
        <v>10174</v>
      </c>
      <c r="M798" s="3" t="s">
        <v>303</v>
      </c>
      <c r="O798" s="3" t="s">
        <v>65</v>
      </c>
      <c r="P798" s="3" t="s">
        <v>66</v>
      </c>
      <c r="R798" s="3" t="s">
        <v>68</v>
      </c>
      <c r="S798" s="4">
        <v>7</v>
      </c>
      <c r="T798" s="4">
        <v>7</v>
      </c>
      <c r="U798" s="5" t="s">
        <v>10175</v>
      </c>
      <c r="V798" s="5" t="s">
        <v>10175</v>
      </c>
      <c r="W798" s="5" t="s">
        <v>10042</v>
      </c>
      <c r="X798" s="5" t="s">
        <v>10042</v>
      </c>
      <c r="Y798" s="4">
        <v>146</v>
      </c>
      <c r="Z798" s="4">
        <v>66</v>
      </c>
      <c r="AA798" s="4">
        <v>301</v>
      </c>
      <c r="AB798" s="4">
        <v>2</v>
      </c>
      <c r="AC798" s="4">
        <v>3</v>
      </c>
      <c r="AD798" s="4">
        <v>4</v>
      </c>
      <c r="AE798" s="4">
        <v>31</v>
      </c>
      <c r="AF798" s="4">
        <v>1</v>
      </c>
      <c r="AG798" s="4">
        <v>7</v>
      </c>
      <c r="AH798" s="4">
        <v>1</v>
      </c>
      <c r="AI798" s="4">
        <v>10</v>
      </c>
      <c r="AJ798" s="4">
        <v>2</v>
      </c>
      <c r="AK798" s="4">
        <v>21</v>
      </c>
      <c r="AL798" s="4">
        <v>1</v>
      </c>
      <c r="AM798" s="4">
        <v>2</v>
      </c>
      <c r="AN798" s="4">
        <v>0</v>
      </c>
      <c r="AO798" s="4">
        <v>0</v>
      </c>
      <c r="AP798" s="3" t="s">
        <v>58</v>
      </c>
      <c r="AQ798" s="3" t="s">
        <v>58</v>
      </c>
      <c r="AS798" s="6" t="str">
        <f>HYPERLINK("https://creighton-primo.hosted.exlibrisgroup.com/primo-explore/search?tab=default_tab&amp;search_scope=EVERYTHING&amp;vid=01CRU&amp;lang=en_US&amp;offset=0&amp;query=any,contains,991004151839702656","Catalog Record")</f>
        <v>Catalog Record</v>
      </c>
      <c r="AT798" s="6" t="str">
        <f>HYPERLINK("http://www.worldcat.org/oclc/2525684","WorldCat Record")</f>
        <v>WorldCat Record</v>
      </c>
      <c r="AU798" s="3" t="s">
        <v>10176</v>
      </c>
      <c r="AV798" s="3" t="s">
        <v>10177</v>
      </c>
      <c r="AW798" s="3" t="s">
        <v>10178</v>
      </c>
      <c r="AX798" s="3" t="s">
        <v>10178</v>
      </c>
      <c r="AY798" s="3" t="s">
        <v>10179</v>
      </c>
      <c r="AZ798" s="3" t="s">
        <v>75</v>
      </c>
      <c r="BB798" s="3" t="s">
        <v>10180</v>
      </c>
      <c r="BC798" s="3" t="s">
        <v>10181</v>
      </c>
      <c r="BD798" s="3" t="s">
        <v>10182</v>
      </c>
    </row>
    <row r="799" spans="1:56" ht="39" customHeight="1" x14ac:dyDescent="0.25">
      <c r="A799" s="7" t="s">
        <v>58</v>
      </c>
      <c r="B799" s="2" t="s">
        <v>10183</v>
      </c>
      <c r="C799" s="2" t="s">
        <v>10184</v>
      </c>
      <c r="D799" s="2" t="s">
        <v>10185</v>
      </c>
      <c r="F799" s="3" t="s">
        <v>58</v>
      </c>
      <c r="G799" s="3" t="s">
        <v>59</v>
      </c>
      <c r="H799" s="3" t="s">
        <v>58</v>
      </c>
      <c r="I799" s="3" t="s">
        <v>58</v>
      </c>
      <c r="J799" s="3" t="s">
        <v>60</v>
      </c>
      <c r="K799" s="2" t="s">
        <v>10186</v>
      </c>
      <c r="L799" s="2" t="s">
        <v>3726</v>
      </c>
      <c r="M799" s="3" t="s">
        <v>3656</v>
      </c>
      <c r="O799" s="3" t="s">
        <v>65</v>
      </c>
      <c r="P799" s="3" t="s">
        <v>186</v>
      </c>
      <c r="R799" s="3" t="s">
        <v>68</v>
      </c>
      <c r="S799" s="4">
        <v>6</v>
      </c>
      <c r="T799" s="4">
        <v>6</v>
      </c>
      <c r="U799" s="5" t="s">
        <v>10187</v>
      </c>
      <c r="V799" s="5" t="s">
        <v>10187</v>
      </c>
      <c r="W799" s="5" t="s">
        <v>3728</v>
      </c>
      <c r="X799" s="5" t="s">
        <v>3728</v>
      </c>
      <c r="Y799" s="4">
        <v>81</v>
      </c>
      <c r="Z799" s="4">
        <v>70</v>
      </c>
      <c r="AA799" s="4">
        <v>70</v>
      </c>
      <c r="AB799" s="4">
        <v>1</v>
      </c>
      <c r="AC799" s="4">
        <v>1</v>
      </c>
      <c r="AD799" s="4">
        <v>8</v>
      </c>
      <c r="AE799" s="4">
        <v>8</v>
      </c>
      <c r="AF799" s="4">
        <v>3</v>
      </c>
      <c r="AG799" s="4">
        <v>3</v>
      </c>
      <c r="AH799" s="4">
        <v>2</v>
      </c>
      <c r="AI799" s="4">
        <v>2</v>
      </c>
      <c r="AJ799" s="4">
        <v>5</v>
      </c>
      <c r="AK799" s="4">
        <v>5</v>
      </c>
      <c r="AL799" s="4">
        <v>0</v>
      </c>
      <c r="AM799" s="4">
        <v>0</v>
      </c>
      <c r="AN799" s="4">
        <v>0</v>
      </c>
      <c r="AO799" s="4">
        <v>0</v>
      </c>
      <c r="AP799" s="3" t="s">
        <v>58</v>
      </c>
      <c r="AQ799" s="3" t="s">
        <v>58</v>
      </c>
      <c r="AS799" s="6" t="str">
        <f>HYPERLINK("https://creighton-primo.hosted.exlibrisgroup.com/primo-explore/search?tab=default_tab&amp;search_scope=EVERYTHING&amp;vid=01CRU&amp;lang=en_US&amp;offset=0&amp;query=any,contains,991002829079702656","Catalog Record")</f>
        <v>Catalog Record</v>
      </c>
      <c r="AT799" s="6" t="str">
        <f>HYPERLINK("http://www.worldcat.org/oclc/37246671","WorldCat Record")</f>
        <v>WorldCat Record</v>
      </c>
      <c r="AU799" s="3" t="s">
        <v>10188</v>
      </c>
      <c r="AV799" s="3" t="s">
        <v>10189</v>
      </c>
      <c r="AW799" s="3" t="s">
        <v>10190</v>
      </c>
      <c r="AX799" s="3" t="s">
        <v>10190</v>
      </c>
      <c r="AY799" s="3" t="s">
        <v>10191</v>
      </c>
      <c r="AZ799" s="3" t="s">
        <v>75</v>
      </c>
      <c r="BB799" s="3" t="s">
        <v>10192</v>
      </c>
      <c r="BC799" s="3" t="s">
        <v>10193</v>
      </c>
      <c r="BD799" s="3" t="s">
        <v>10194</v>
      </c>
    </row>
    <row r="800" spans="1:56" ht="39" customHeight="1" x14ac:dyDescent="0.25">
      <c r="A800" s="7" t="s">
        <v>58</v>
      </c>
      <c r="B800" s="2" t="s">
        <v>10195</v>
      </c>
      <c r="C800" s="2" t="s">
        <v>10196</v>
      </c>
      <c r="D800" s="2" t="s">
        <v>10197</v>
      </c>
      <c r="F800" s="3" t="s">
        <v>58</v>
      </c>
      <c r="G800" s="3" t="s">
        <v>59</v>
      </c>
      <c r="H800" s="3" t="s">
        <v>58</v>
      </c>
      <c r="I800" s="3" t="s">
        <v>58</v>
      </c>
      <c r="J800" s="3" t="s">
        <v>60</v>
      </c>
      <c r="K800" s="2" t="s">
        <v>8960</v>
      </c>
      <c r="L800" s="2" t="s">
        <v>10198</v>
      </c>
      <c r="M800" s="3" t="s">
        <v>144</v>
      </c>
      <c r="N800" s="2" t="s">
        <v>476</v>
      </c>
      <c r="O800" s="3" t="s">
        <v>65</v>
      </c>
      <c r="P800" s="3" t="s">
        <v>84</v>
      </c>
      <c r="R800" s="3" t="s">
        <v>68</v>
      </c>
      <c r="S800" s="4">
        <v>4</v>
      </c>
      <c r="T800" s="4">
        <v>4</v>
      </c>
      <c r="U800" s="5" t="s">
        <v>10199</v>
      </c>
      <c r="V800" s="5" t="s">
        <v>10199</v>
      </c>
      <c r="W800" s="5" t="s">
        <v>10042</v>
      </c>
      <c r="X800" s="5" t="s">
        <v>10042</v>
      </c>
      <c r="Y800" s="4">
        <v>297</v>
      </c>
      <c r="Z800" s="4">
        <v>269</v>
      </c>
      <c r="AA800" s="4">
        <v>303</v>
      </c>
      <c r="AB800" s="4">
        <v>2</v>
      </c>
      <c r="AC800" s="4">
        <v>3</v>
      </c>
      <c r="AD800" s="4">
        <v>25</v>
      </c>
      <c r="AE800" s="4">
        <v>26</v>
      </c>
      <c r="AF800" s="4">
        <v>8</v>
      </c>
      <c r="AG800" s="4">
        <v>8</v>
      </c>
      <c r="AH800" s="4">
        <v>5</v>
      </c>
      <c r="AI800" s="4">
        <v>5</v>
      </c>
      <c r="AJ800" s="4">
        <v>18</v>
      </c>
      <c r="AK800" s="4">
        <v>18</v>
      </c>
      <c r="AL800" s="4">
        <v>1</v>
      </c>
      <c r="AM800" s="4">
        <v>2</v>
      </c>
      <c r="AN800" s="4">
        <v>0</v>
      </c>
      <c r="AO800" s="4">
        <v>0</v>
      </c>
      <c r="AP800" s="3" t="s">
        <v>58</v>
      </c>
      <c r="AQ800" s="3" t="s">
        <v>58</v>
      </c>
      <c r="AS800" s="6" t="str">
        <f>HYPERLINK("https://creighton-primo.hosted.exlibrisgroup.com/primo-explore/search?tab=default_tab&amp;search_scope=EVERYTHING&amp;vid=01CRU&amp;lang=en_US&amp;offset=0&amp;query=any,contains,991004461339702656","Catalog Record")</f>
        <v>Catalog Record</v>
      </c>
      <c r="AT800" s="6" t="str">
        <f>HYPERLINK("http://www.worldcat.org/oclc/3543531","WorldCat Record")</f>
        <v>WorldCat Record</v>
      </c>
      <c r="AU800" s="3" t="s">
        <v>10200</v>
      </c>
      <c r="AV800" s="3" t="s">
        <v>10201</v>
      </c>
      <c r="AW800" s="3" t="s">
        <v>10202</v>
      </c>
      <c r="AX800" s="3" t="s">
        <v>10202</v>
      </c>
      <c r="AY800" s="3" t="s">
        <v>10203</v>
      </c>
      <c r="AZ800" s="3" t="s">
        <v>75</v>
      </c>
      <c r="BB800" s="3" t="s">
        <v>10204</v>
      </c>
      <c r="BC800" s="3" t="s">
        <v>10205</v>
      </c>
      <c r="BD800" s="3" t="s">
        <v>10206</v>
      </c>
    </row>
    <row r="801" spans="1:56" ht="39" customHeight="1" x14ac:dyDescent="0.25">
      <c r="A801" s="7" t="s">
        <v>58</v>
      </c>
      <c r="B801" s="2" t="s">
        <v>10207</v>
      </c>
      <c r="C801" s="2" t="s">
        <v>10208</v>
      </c>
      <c r="D801" s="2" t="s">
        <v>10209</v>
      </c>
      <c r="F801" s="3" t="s">
        <v>58</v>
      </c>
      <c r="G801" s="3" t="s">
        <v>59</v>
      </c>
      <c r="H801" s="3" t="s">
        <v>58</v>
      </c>
      <c r="I801" s="3" t="s">
        <v>58</v>
      </c>
      <c r="J801" s="3" t="s">
        <v>60</v>
      </c>
      <c r="K801" s="2" t="s">
        <v>9926</v>
      </c>
      <c r="L801" s="2" t="s">
        <v>10210</v>
      </c>
      <c r="M801" s="3" t="s">
        <v>128</v>
      </c>
      <c r="N801" s="2" t="s">
        <v>10211</v>
      </c>
      <c r="O801" s="3" t="s">
        <v>65</v>
      </c>
      <c r="P801" s="3" t="s">
        <v>186</v>
      </c>
      <c r="R801" s="3" t="s">
        <v>68</v>
      </c>
      <c r="S801" s="4">
        <v>2</v>
      </c>
      <c r="T801" s="4">
        <v>2</v>
      </c>
      <c r="U801" s="5" t="s">
        <v>10212</v>
      </c>
      <c r="V801" s="5" t="s">
        <v>10212</v>
      </c>
      <c r="W801" s="5" t="s">
        <v>10042</v>
      </c>
      <c r="X801" s="5" t="s">
        <v>10042</v>
      </c>
      <c r="Y801" s="4">
        <v>195</v>
      </c>
      <c r="Z801" s="4">
        <v>175</v>
      </c>
      <c r="AA801" s="4">
        <v>184</v>
      </c>
      <c r="AB801" s="4">
        <v>3</v>
      </c>
      <c r="AC801" s="4">
        <v>3</v>
      </c>
      <c r="AD801" s="4">
        <v>10</v>
      </c>
      <c r="AE801" s="4">
        <v>10</v>
      </c>
      <c r="AF801" s="4">
        <v>2</v>
      </c>
      <c r="AG801" s="4">
        <v>2</v>
      </c>
      <c r="AH801" s="4">
        <v>1</v>
      </c>
      <c r="AI801" s="4">
        <v>1</v>
      </c>
      <c r="AJ801" s="4">
        <v>7</v>
      </c>
      <c r="AK801" s="4">
        <v>7</v>
      </c>
      <c r="AL801" s="4">
        <v>1</v>
      </c>
      <c r="AM801" s="4">
        <v>1</v>
      </c>
      <c r="AN801" s="4">
        <v>0</v>
      </c>
      <c r="AO801" s="4">
        <v>0</v>
      </c>
      <c r="AP801" s="3" t="s">
        <v>58</v>
      </c>
      <c r="AQ801" s="3" t="s">
        <v>58</v>
      </c>
      <c r="AS801" s="6" t="str">
        <f>HYPERLINK("https://creighton-primo.hosted.exlibrisgroup.com/primo-explore/search?tab=default_tab&amp;search_scope=EVERYTHING&amp;vid=01CRU&amp;lang=en_US&amp;offset=0&amp;query=any,contains,991004077379702656","Catalog Record")</f>
        <v>Catalog Record</v>
      </c>
      <c r="AT801" s="6" t="str">
        <f>HYPERLINK("http://www.worldcat.org/oclc/2318423","WorldCat Record")</f>
        <v>WorldCat Record</v>
      </c>
      <c r="AU801" s="3" t="s">
        <v>10213</v>
      </c>
      <c r="AV801" s="3" t="s">
        <v>10214</v>
      </c>
      <c r="AW801" s="3" t="s">
        <v>10215</v>
      </c>
      <c r="AX801" s="3" t="s">
        <v>10215</v>
      </c>
      <c r="AY801" s="3" t="s">
        <v>10216</v>
      </c>
      <c r="AZ801" s="3" t="s">
        <v>75</v>
      </c>
      <c r="BC801" s="3" t="s">
        <v>10217</v>
      </c>
      <c r="BD801" s="3" t="s">
        <v>10218</v>
      </c>
    </row>
    <row r="802" spans="1:56" ht="39" customHeight="1" x14ac:dyDescent="0.25">
      <c r="A802" s="7" t="s">
        <v>58</v>
      </c>
      <c r="B802" s="2" t="s">
        <v>10219</v>
      </c>
      <c r="C802" s="2" t="s">
        <v>10220</v>
      </c>
      <c r="D802" s="2" t="s">
        <v>10221</v>
      </c>
      <c r="F802" s="3" t="s">
        <v>58</v>
      </c>
      <c r="G802" s="3" t="s">
        <v>59</v>
      </c>
      <c r="H802" s="3" t="s">
        <v>58</v>
      </c>
      <c r="I802" s="3" t="s">
        <v>58</v>
      </c>
      <c r="J802" s="3" t="s">
        <v>60</v>
      </c>
      <c r="K802" s="2" t="s">
        <v>10222</v>
      </c>
      <c r="L802" s="2" t="s">
        <v>6600</v>
      </c>
      <c r="M802" s="3" t="s">
        <v>709</v>
      </c>
      <c r="N802" s="2" t="s">
        <v>476</v>
      </c>
      <c r="O802" s="3" t="s">
        <v>65</v>
      </c>
      <c r="P802" s="3" t="s">
        <v>1724</v>
      </c>
      <c r="R802" s="3" t="s">
        <v>68</v>
      </c>
      <c r="S802" s="4">
        <v>3</v>
      </c>
      <c r="T802" s="4">
        <v>3</v>
      </c>
      <c r="U802" s="5" t="s">
        <v>10223</v>
      </c>
      <c r="V802" s="5" t="s">
        <v>10223</v>
      </c>
      <c r="W802" s="5" t="s">
        <v>10224</v>
      </c>
      <c r="X802" s="5" t="s">
        <v>10224</v>
      </c>
      <c r="Y802" s="4">
        <v>206</v>
      </c>
      <c r="Z802" s="4">
        <v>194</v>
      </c>
      <c r="AA802" s="4">
        <v>199</v>
      </c>
      <c r="AB802" s="4">
        <v>2</v>
      </c>
      <c r="AC802" s="4">
        <v>2</v>
      </c>
      <c r="AD802" s="4">
        <v>5</v>
      </c>
      <c r="AE802" s="4">
        <v>5</v>
      </c>
      <c r="AF802" s="4">
        <v>1</v>
      </c>
      <c r="AG802" s="4">
        <v>1</v>
      </c>
      <c r="AH802" s="4">
        <v>1</v>
      </c>
      <c r="AI802" s="4">
        <v>1</v>
      </c>
      <c r="AJ802" s="4">
        <v>2</v>
      </c>
      <c r="AK802" s="4">
        <v>2</v>
      </c>
      <c r="AL802" s="4">
        <v>1</v>
      </c>
      <c r="AM802" s="4">
        <v>1</v>
      </c>
      <c r="AN802" s="4">
        <v>0</v>
      </c>
      <c r="AO802" s="4">
        <v>0</v>
      </c>
      <c r="AP802" s="3" t="s">
        <v>58</v>
      </c>
      <c r="AQ802" s="3" t="s">
        <v>58</v>
      </c>
      <c r="AS802" s="6" t="str">
        <f>HYPERLINK("https://creighton-primo.hosted.exlibrisgroup.com/primo-explore/search?tab=default_tab&amp;search_scope=EVERYTHING&amp;vid=01CRU&amp;lang=en_US&amp;offset=0&amp;query=any,contains,991001729749702656","Catalog Record")</f>
        <v>Catalog Record</v>
      </c>
      <c r="AT802" s="6" t="str">
        <f>HYPERLINK("http://www.worldcat.org/oclc/21909896","WorldCat Record")</f>
        <v>WorldCat Record</v>
      </c>
      <c r="AU802" s="3" t="s">
        <v>10225</v>
      </c>
      <c r="AV802" s="3" t="s">
        <v>10226</v>
      </c>
      <c r="AW802" s="3" t="s">
        <v>10227</v>
      </c>
      <c r="AX802" s="3" t="s">
        <v>10227</v>
      </c>
      <c r="AY802" s="3" t="s">
        <v>10228</v>
      </c>
      <c r="AZ802" s="3" t="s">
        <v>75</v>
      </c>
      <c r="BB802" s="3" t="s">
        <v>10229</v>
      </c>
      <c r="BC802" s="3" t="s">
        <v>10230</v>
      </c>
      <c r="BD802" s="3" t="s">
        <v>10231</v>
      </c>
    </row>
    <row r="803" spans="1:56" ht="39" customHeight="1" x14ac:dyDescent="0.25">
      <c r="A803" s="7" t="s">
        <v>58</v>
      </c>
      <c r="B803" s="2" t="s">
        <v>10232</v>
      </c>
      <c r="C803" s="2" t="s">
        <v>10233</v>
      </c>
      <c r="D803" s="2" t="s">
        <v>10234</v>
      </c>
      <c r="F803" s="3" t="s">
        <v>58</v>
      </c>
      <c r="G803" s="3" t="s">
        <v>59</v>
      </c>
      <c r="H803" s="3" t="s">
        <v>58</v>
      </c>
      <c r="I803" s="3" t="s">
        <v>58</v>
      </c>
      <c r="J803" s="3" t="s">
        <v>60</v>
      </c>
      <c r="K803" s="2" t="s">
        <v>10235</v>
      </c>
      <c r="L803" s="2" t="s">
        <v>10236</v>
      </c>
      <c r="M803" s="3" t="s">
        <v>185</v>
      </c>
      <c r="O803" s="3" t="s">
        <v>65</v>
      </c>
      <c r="P803" s="3" t="s">
        <v>84</v>
      </c>
      <c r="R803" s="3" t="s">
        <v>68</v>
      </c>
      <c r="S803" s="4">
        <v>1</v>
      </c>
      <c r="T803" s="4">
        <v>1</v>
      </c>
      <c r="U803" s="5" t="s">
        <v>10237</v>
      </c>
      <c r="V803" s="5" t="s">
        <v>10237</v>
      </c>
      <c r="W803" s="5" t="s">
        <v>8238</v>
      </c>
      <c r="X803" s="5" t="s">
        <v>8238</v>
      </c>
      <c r="Y803" s="4">
        <v>205</v>
      </c>
      <c r="Z803" s="4">
        <v>180</v>
      </c>
      <c r="AA803" s="4">
        <v>187</v>
      </c>
      <c r="AB803" s="4">
        <v>1</v>
      </c>
      <c r="AC803" s="4">
        <v>1</v>
      </c>
      <c r="AD803" s="4">
        <v>9</v>
      </c>
      <c r="AE803" s="4">
        <v>9</v>
      </c>
      <c r="AF803" s="4">
        <v>5</v>
      </c>
      <c r="AG803" s="4">
        <v>5</v>
      </c>
      <c r="AH803" s="4">
        <v>2</v>
      </c>
      <c r="AI803" s="4">
        <v>2</v>
      </c>
      <c r="AJ803" s="4">
        <v>6</v>
      </c>
      <c r="AK803" s="4">
        <v>6</v>
      </c>
      <c r="AL803" s="4">
        <v>0</v>
      </c>
      <c r="AM803" s="4">
        <v>0</v>
      </c>
      <c r="AN803" s="4">
        <v>0</v>
      </c>
      <c r="AO803" s="4">
        <v>0</v>
      </c>
      <c r="AP803" s="3" t="s">
        <v>58</v>
      </c>
      <c r="AQ803" s="3" t="s">
        <v>58</v>
      </c>
      <c r="AS803" s="6" t="str">
        <f>HYPERLINK("https://creighton-primo.hosted.exlibrisgroup.com/primo-explore/search?tab=default_tab&amp;search_scope=EVERYTHING&amp;vid=01CRU&amp;lang=en_US&amp;offset=0&amp;query=any,contains,991003486789702656","Catalog Record")</f>
        <v>Catalog Record</v>
      </c>
      <c r="AT803" s="6" t="str">
        <f>HYPERLINK("http://www.worldcat.org/oclc/44681689","WorldCat Record")</f>
        <v>WorldCat Record</v>
      </c>
      <c r="AU803" s="3" t="s">
        <v>10238</v>
      </c>
      <c r="AV803" s="3" t="s">
        <v>10239</v>
      </c>
      <c r="AW803" s="3" t="s">
        <v>10240</v>
      </c>
      <c r="AX803" s="3" t="s">
        <v>10240</v>
      </c>
      <c r="AY803" s="3" t="s">
        <v>10241</v>
      </c>
      <c r="AZ803" s="3" t="s">
        <v>75</v>
      </c>
      <c r="BB803" s="3" t="s">
        <v>10242</v>
      </c>
      <c r="BC803" s="3" t="s">
        <v>10243</v>
      </c>
      <c r="BD803" s="3" t="s">
        <v>10244</v>
      </c>
    </row>
    <row r="804" spans="1:56" ht="39" customHeight="1" x14ac:dyDescent="0.25">
      <c r="A804" s="7" t="s">
        <v>58</v>
      </c>
      <c r="B804" s="2" t="s">
        <v>10245</v>
      </c>
      <c r="C804" s="2" t="s">
        <v>10246</v>
      </c>
      <c r="D804" s="2" t="s">
        <v>10247</v>
      </c>
      <c r="F804" s="3" t="s">
        <v>58</v>
      </c>
      <c r="G804" s="3" t="s">
        <v>59</v>
      </c>
      <c r="H804" s="3" t="s">
        <v>58</v>
      </c>
      <c r="I804" s="3" t="s">
        <v>58</v>
      </c>
      <c r="J804" s="3" t="s">
        <v>60</v>
      </c>
      <c r="K804" s="2" t="s">
        <v>10248</v>
      </c>
      <c r="L804" s="2" t="s">
        <v>10249</v>
      </c>
      <c r="M804" s="3" t="s">
        <v>682</v>
      </c>
      <c r="O804" s="3" t="s">
        <v>65</v>
      </c>
      <c r="P804" s="3" t="s">
        <v>186</v>
      </c>
      <c r="R804" s="3" t="s">
        <v>68</v>
      </c>
      <c r="S804" s="4">
        <v>1</v>
      </c>
      <c r="T804" s="4">
        <v>1</v>
      </c>
      <c r="U804" s="5" t="s">
        <v>6969</v>
      </c>
      <c r="V804" s="5" t="s">
        <v>6969</v>
      </c>
      <c r="W804" s="5" t="s">
        <v>6969</v>
      </c>
      <c r="X804" s="5" t="s">
        <v>6969</v>
      </c>
      <c r="Y804" s="4">
        <v>237</v>
      </c>
      <c r="Z804" s="4">
        <v>225</v>
      </c>
      <c r="AA804" s="4">
        <v>343</v>
      </c>
      <c r="AB804" s="4">
        <v>1</v>
      </c>
      <c r="AC804" s="4">
        <v>1</v>
      </c>
      <c r="AD804" s="4">
        <v>7</v>
      </c>
      <c r="AE804" s="4">
        <v>12</v>
      </c>
      <c r="AF804" s="4">
        <v>4</v>
      </c>
      <c r="AG804" s="4">
        <v>6</v>
      </c>
      <c r="AH804" s="4">
        <v>0</v>
      </c>
      <c r="AI804" s="4">
        <v>3</v>
      </c>
      <c r="AJ804" s="4">
        <v>3</v>
      </c>
      <c r="AK804" s="4">
        <v>5</v>
      </c>
      <c r="AL804" s="4">
        <v>0</v>
      </c>
      <c r="AM804" s="4">
        <v>0</v>
      </c>
      <c r="AN804" s="4">
        <v>0</v>
      </c>
      <c r="AO804" s="4">
        <v>0</v>
      </c>
      <c r="AP804" s="3" t="s">
        <v>58</v>
      </c>
      <c r="AQ804" s="3" t="s">
        <v>132</v>
      </c>
      <c r="AR804" s="6" t="str">
        <f>HYPERLINK("http://catalog.hathitrust.org/Record/102330353","HathiTrust Record")</f>
        <v>HathiTrust Record</v>
      </c>
      <c r="AS804" s="6" t="str">
        <f>HYPERLINK("https://creighton-primo.hosted.exlibrisgroup.com/primo-explore/search?tab=default_tab&amp;search_scope=EVERYTHING&amp;vid=01CRU&amp;lang=en_US&amp;offset=0&amp;query=any,contains,991005261239702656","Catalog Record")</f>
        <v>Catalog Record</v>
      </c>
      <c r="AT804" s="6" t="str">
        <f>HYPERLINK("http://www.worldcat.org/oclc/1250070","WorldCat Record")</f>
        <v>WorldCat Record</v>
      </c>
      <c r="AU804" s="3" t="s">
        <v>10250</v>
      </c>
      <c r="AV804" s="3" t="s">
        <v>10251</v>
      </c>
      <c r="AW804" s="3" t="s">
        <v>10252</v>
      </c>
      <c r="AX804" s="3" t="s">
        <v>10252</v>
      </c>
      <c r="AY804" s="3" t="s">
        <v>10253</v>
      </c>
      <c r="AZ804" s="3" t="s">
        <v>75</v>
      </c>
      <c r="BC804" s="3" t="s">
        <v>10254</v>
      </c>
      <c r="BD804" s="3" t="s">
        <v>10255</v>
      </c>
    </row>
    <row r="805" spans="1:56" ht="39" customHeight="1" x14ac:dyDescent="0.25">
      <c r="A805" s="7" t="s">
        <v>58</v>
      </c>
      <c r="B805" s="2" t="s">
        <v>10256</v>
      </c>
      <c r="C805" s="2" t="s">
        <v>10257</v>
      </c>
      <c r="D805" s="2" t="s">
        <v>10258</v>
      </c>
      <c r="F805" s="3" t="s">
        <v>58</v>
      </c>
      <c r="G805" s="3" t="s">
        <v>59</v>
      </c>
      <c r="H805" s="3" t="s">
        <v>58</v>
      </c>
      <c r="I805" s="3" t="s">
        <v>58</v>
      </c>
      <c r="J805" s="3" t="s">
        <v>60</v>
      </c>
      <c r="K805" s="2" t="s">
        <v>10259</v>
      </c>
      <c r="L805" s="2" t="s">
        <v>10260</v>
      </c>
      <c r="M805" s="3" t="s">
        <v>389</v>
      </c>
      <c r="O805" s="3" t="s">
        <v>65</v>
      </c>
      <c r="P805" s="3" t="s">
        <v>1345</v>
      </c>
      <c r="R805" s="3" t="s">
        <v>68</v>
      </c>
      <c r="S805" s="4">
        <v>6</v>
      </c>
      <c r="T805" s="4">
        <v>6</v>
      </c>
      <c r="U805" s="5" t="s">
        <v>3012</v>
      </c>
      <c r="V805" s="5" t="s">
        <v>3012</v>
      </c>
      <c r="W805" s="5" t="s">
        <v>10042</v>
      </c>
      <c r="X805" s="5" t="s">
        <v>10042</v>
      </c>
      <c r="Y805" s="4">
        <v>106</v>
      </c>
      <c r="Z805" s="4">
        <v>103</v>
      </c>
      <c r="AA805" s="4">
        <v>108</v>
      </c>
      <c r="AB805" s="4">
        <v>2</v>
      </c>
      <c r="AC805" s="4">
        <v>2</v>
      </c>
      <c r="AD805" s="4">
        <v>9</v>
      </c>
      <c r="AE805" s="4">
        <v>9</v>
      </c>
      <c r="AF805" s="4">
        <v>2</v>
      </c>
      <c r="AG805" s="4">
        <v>2</v>
      </c>
      <c r="AH805" s="4">
        <v>1</v>
      </c>
      <c r="AI805" s="4">
        <v>1</v>
      </c>
      <c r="AJ805" s="4">
        <v>5</v>
      </c>
      <c r="AK805" s="4">
        <v>5</v>
      </c>
      <c r="AL805" s="4">
        <v>1</v>
      </c>
      <c r="AM805" s="4">
        <v>1</v>
      </c>
      <c r="AN805" s="4">
        <v>0</v>
      </c>
      <c r="AO805" s="4">
        <v>0</v>
      </c>
      <c r="AP805" s="3" t="s">
        <v>58</v>
      </c>
      <c r="AQ805" s="3" t="s">
        <v>58</v>
      </c>
      <c r="AS805" s="6" t="str">
        <f>HYPERLINK("https://creighton-primo.hosted.exlibrisgroup.com/primo-explore/search?tab=default_tab&amp;search_scope=EVERYTHING&amp;vid=01CRU&amp;lang=en_US&amp;offset=0&amp;query=any,contains,991000633179702656","Catalog Record")</f>
        <v>Catalog Record</v>
      </c>
      <c r="AT805" s="6" t="str">
        <f>HYPERLINK("http://www.worldcat.org/oclc/106586","WorldCat Record")</f>
        <v>WorldCat Record</v>
      </c>
      <c r="AU805" s="3" t="s">
        <v>10261</v>
      </c>
      <c r="AV805" s="3" t="s">
        <v>10262</v>
      </c>
      <c r="AW805" s="3" t="s">
        <v>10263</v>
      </c>
      <c r="AX805" s="3" t="s">
        <v>10263</v>
      </c>
      <c r="AY805" s="3" t="s">
        <v>10264</v>
      </c>
      <c r="AZ805" s="3" t="s">
        <v>75</v>
      </c>
      <c r="BB805" s="3" t="s">
        <v>10265</v>
      </c>
      <c r="BC805" s="3" t="s">
        <v>10266</v>
      </c>
      <c r="BD805" s="3" t="s">
        <v>10267</v>
      </c>
    </row>
    <row r="806" spans="1:56" ht="39" customHeight="1" x14ac:dyDescent="0.25">
      <c r="A806" s="7" t="s">
        <v>58</v>
      </c>
      <c r="B806" s="2" t="s">
        <v>10268</v>
      </c>
      <c r="C806" s="2" t="s">
        <v>10269</v>
      </c>
      <c r="D806" s="2" t="s">
        <v>10270</v>
      </c>
      <c r="F806" s="3" t="s">
        <v>58</v>
      </c>
      <c r="G806" s="3" t="s">
        <v>59</v>
      </c>
      <c r="H806" s="3" t="s">
        <v>58</v>
      </c>
      <c r="I806" s="3" t="s">
        <v>58</v>
      </c>
      <c r="J806" s="3" t="s">
        <v>60</v>
      </c>
      <c r="K806" s="2" t="s">
        <v>10271</v>
      </c>
      <c r="L806" s="2" t="s">
        <v>10272</v>
      </c>
      <c r="M806" s="3" t="s">
        <v>144</v>
      </c>
      <c r="O806" s="3" t="s">
        <v>65</v>
      </c>
      <c r="P806" s="3" t="s">
        <v>84</v>
      </c>
      <c r="R806" s="3" t="s">
        <v>68</v>
      </c>
      <c r="S806" s="4">
        <v>5</v>
      </c>
      <c r="T806" s="4">
        <v>5</v>
      </c>
      <c r="U806" s="5" t="s">
        <v>10273</v>
      </c>
      <c r="V806" s="5" t="s">
        <v>10273</v>
      </c>
      <c r="W806" s="5" t="s">
        <v>10042</v>
      </c>
      <c r="X806" s="5" t="s">
        <v>10042</v>
      </c>
      <c r="Y806" s="4">
        <v>342</v>
      </c>
      <c r="Z806" s="4">
        <v>291</v>
      </c>
      <c r="AA806" s="4">
        <v>296</v>
      </c>
      <c r="AB806" s="4">
        <v>4</v>
      </c>
      <c r="AC806" s="4">
        <v>4</v>
      </c>
      <c r="AD806" s="4">
        <v>26</v>
      </c>
      <c r="AE806" s="4">
        <v>26</v>
      </c>
      <c r="AF806" s="4">
        <v>9</v>
      </c>
      <c r="AG806" s="4">
        <v>9</v>
      </c>
      <c r="AH806" s="4">
        <v>6</v>
      </c>
      <c r="AI806" s="4">
        <v>6</v>
      </c>
      <c r="AJ806" s="4">
        <v>15</v>
      </c>
      <c r="AK806" s="4">
        <v>15</v>
      </c>
      <c r="AL806" s="4">
        <v>3</v>
      </c>
      <c r="AM806" s="4">
        <v>3</v>
      </c>
      <c r="AN806" s="4">
        <v>0</v>
      </c>
      <c r="AO806" s="4">
        <v>0</v>
      </c>
      <c r="AP806" s="3" t="s">
        <v>58</v>
      </c>
      <c r="AQ806" s="3" t="s">
        <v>58</v>
      </c>
      <c r="AS806" s="6" t="str">
        <f>HYPERLINK("https://creighton-primo.hosted.exlibrisgroup.com/primo-explore/search?tab=default_tab&amp;search_scope=EVERYTHING&amp;vid=01CRU&amp;lang=en_US&amp;offset=0&amp;query=any,contains,991004536489702656","Catalog Record")</f>
        <v>Catalog Record</v>
      </c>
      <c r="AT806" s="6" t="str">
        <f>HYPERLINK("http://www.worldcat.org/oclc/3870110","WorldCat Record")</f>
        <v>WorldCat Record</v>
      </c>
      <c r="AU806" s="3" t="s">
        <v>10274</v>
      </c>
      <c r="AV806" s="3" t="s">
        <v>10275</v>
      </c>
      <c r="AW806" s="3" t="s">
        <v>10276</v>
      </c>
      <c r="AX806" s="3" t="s">
        <v>10276</v>
      </c>
      <c r="AY806" s="3" t="s">
        <v>10277</v>
      </c>
      <c r="AZ806" s="3" t="s">
        <v>75</v>
      </c>
      <c r="BB806" s="3" t="s">
        <v>10278</v>
      </c>
      <c r="BC806" s="3" t="s">
        <v>10279</v>
      </c>
      <c r="BD806" s="3" t="s">
        <v>10280</v>
      </c>
    </row>
    <row r="807" spans="1:56" ht="39" customHeight="1" x14ac:dyDescent="0.25">
      <c r="A807" s="7" t="s">
        <v>58</v>
      </c>
      <c r="B807" s="2" t="s">
        <v>10281</v>
      </c>
      <c r="C807" s="2" t="s">
        <v>10282</v>
      </c>
      <c r="D807" s="2" t="s">
        <v>10283</v>
      </c>
      <c r="F807" s="3" t="s">
        <v>58</v>
      </c>
      <c r="G807" s="3" t="s">
        <v>59</v>
      </c>
      <c r="H807" s="3" t="s">
        <v>58</v>
      </c>
      <c r="I807" s="3" t="s">
        <v>58</v>
      </c>
      <c r="J807" s="3" t="s">
        <v>60</v>
      </c>
      <c r="K807" s="2" t="s">
        <v>10284</v>
      </c>
      <c r="L807" s="2" t="s">
        <v>10285</v>
      </c>
      <c r="M807" s="3" t="s">
        <v>112</v>
      </c>
      <c r="O807" s="3" t="s">
        <v>65</v>
      </c>
      <c r="P807" s="3" t="s">
        <v>201</v>
      </c>
      <c r="R807" s="3" t="s">
        <v>68</v>
      </c>
      <c r="S807" s="4">
        <v>2</v>
      </c>
      <c r="T807" s="4">
        <v>2</v>
      </c>
      <c r="U807" s="5" t="s">
        <v>10286</v>
      </c>
      <c r="V807" s="5" t="s">
        <v>10286</v>
      </c>
      <c r="W807" s="5" t="s">
        <v>10287</v>
      </c>
      <c r="X807" s="5" t="s">
        <v>10287</v>
      </c>
      <c r="Y807" s="4">
        <v>280</v>
      </c>
      <c r="Z807" s="4">
        <v>221</v>
      </c>
      <c r="AA807" s="4">
        <v>221</v>
      </c>
      <c r="AB807" s="4">
        <v>4</v>
      </c>
      <c r="AC807" s="4">
        <v>4</v>
      </c>
      <c r="AD807" s="4">
        <v>10</v>
      </c>
      <c r="AE807" s="4">
        <v>10</v>
      </c>
      <c r="AF807" s="4">
        <v>2</v>
      </c>
      <c r="AG807" s="4">
        <v>2</v>
      </c>
      <c r="AH807" s="4">
        <v>2</v>
      </c>
      <c r="AI807" s="4">
        <v>2</v>
      </c>
      <c r="AJ807" s="4">
        <v>5</v>
      </c>
      <c r="AK807" s="4">
        <v>5</v>
      </c>
      <c r="AL807" s="4">
        <v>2</v>
      </c>
      <c r="AM807" s="4">
        <v>2</v>
      </c>
      <c r="AN807" s="4">
        <v>0</v>
      </c>
      <c r="AO807" s="4">
        <v>0</v>
      </c>
      <c r="AP807" s="3" t="s">
        <v>58</v>
      </c>
      <c r="AQ807" s="3" t="s">
        <v>58</v>
      </c>
      <c r="AS807" s="6" t="str">
        <f>HYPERLINK("https://creighton-primo.hosted.exlibrisgroup.com/primo-explore/search?tab=default_tab&amp;search_scope=EVERYTHING&amp;vid=01CRU&amp;lang=en_US&amp;offset=0&amp;query=any,contains,991001965599702656","Catalog Record")</f>
        <v>Catalog Record</v>
      </c>
      <c r="AT807" s="6" t="str">
        <f>HYPERLINK("http://www.worldcat.org/oclc/24909226","WorldCat Record")</f>
        <v>WorldCat Record</v>
      </c>
      <c r="AU807" s="3" t="s">
        <v>10288</v>
      </c>
      <c r="AV807" s="3" t="s">
        <v>10289</v>
      </c>
      <c r="AW807" s="3" t="s">
        <v>10290</v>
      </c>
      <c r="AX807" s="3" t="s">
        <v>10290</v>
      </c>
      <c r="AY807" s="3" t="s">
        <v>10291</v>
      </c>
      <c r="AZ807" s="3" t="s">
        <v>75</v>
      </c>
      <c r="BB807" s="3" t="s">
        <v>10292</v>
      </c>
      <c r="BC807" s="3" t="s">
        <v>10293</v>
      </c>
      <c r="BD807" s="3" t="s">
        <v>10294</v>
      </c>
    </row>
    <row r="808" spans="1:56" ht="39" customHeight="1" x14ac:dyDescent="0.25">
      <c r="A808" s="7" t="s">
        <v>58</v>
      </c>
      <c r="B808" s="2" t="s">
        <v>10295</v>
      </c>
      <c r="C808" s="2" t="s">
        <v>10296</v>
      </c>
      <c r="D808" s="2" t="s">
        <v>10297</v>
      </c>
      <c r="F808" s="3" t="s">
        <v>58</v>
      </c>
      <c r="G808" s="3" t="s">
        <v>59</v>
      </c>
      <c r="H808" s="3" t="s">
        <v>58</v>
      </c>
      <c r="I808" s="3" t="s">
        <v>58</v>
      </c>
      <c r="J808" s="3" t="s">
        <v>60</v>
      </c>
      <c r="K808" s="2" t="s">
        <v>10298</v>
      </c>
      <c r="L808" s="2" t="s">
        <v>10299</v>
      </c>
      <c r="M808" s="3" t="s">
        <v>1150</v>
      </c>
      <c r="O808" s="3" t="s">
        <v>65</v>
      </c>
      <c r="P808" s="3" t="s">
        <v>186</v>
      </c>
      <c r="R808" s="3" t="s">
        <v>68</v>
      </c>
      <c r="S808" s="4">
        <v>7</v>
      </c>
      <c r="T808" s="4">
        <v>7</v>
      </c>
      <c r="U808" s="5" t="s">
        <v>4148</v>
      </c>
      <c r="V808" s="5" t="s">
        <v>4148</v>
      </c>
      <c r="W808" s="5" t="s">
        <v>10300</v>
      </c>
      <c r="X808" s="5" t="s">
        <v>10300</v>
      </c>
      <c r="Y808" s="4">
        <v>195</v>
      </c>
      <c r="Z808" s="4">
        <v>178</v>
      </c>
      <c r="AA808" s="4">
        <v>188</v>
      </c>
      <c r="AB808" s="4">
        <v>2</v>
      </c>
      <c r="AC808" s="4">
        <v>2</v>
      </c>
      <c r="AD808" s="4">
        <v>10</v>
      </c>
      <c r="AE808" s="4">
        <v>12</v>
      </c>
      <c r="AF808" s="4">
        <v>4</v>
      </c>
      <c r="AG808" s="4">
        <v>4</v>
      </c>
      <c r="AH808" s="4">
        <v>2</v>
      </c>
      <c r="AI808" s="4">
        <v>4</v>
      </c>
      <c r="AJ808" s="4">
        <v>4</v>
      </c>
      <c r="AK808" s="4">
        <v>6</v>
      </c>
      <c r="AL808" s="4">
        <v>1</v>
      </c>
      <c r="AM808" s="4">
        <v>1</v>
      </c>
      <c r="AN808" s="4">
        <v>0</v>
      </c>
      <c r="AO808" s="4">
        <v>0</v>
      </c>
      <c r="AP808" s="3" t="s">
        <v>58</v>
      </c>
      <c r="AQ808" s="3" t="s">
        <v>132</v>
      </c>
      <c r="AR808" s="6" t="str">
        <f>HYPERLINK("http://catalog.hathitrust.org/Record/009923327","HathiTrust Record")</f>
        <v>HathiTrust Record</v>
      </c>
      <c r="AS808" s="6" t="str">
        <f>HYPERLINK("https://creighton-primo.hosted.exlibrisgroup.com/primo-explore/search?tab=default_tab&amp;search_scope=EVERYTHING&amp;vid=01CRU&amp;lang=en_US&amp;offset=0&amp;query=any,contains,991002573859702656","Catalog Record")</f>
        <v>Catalog Record</v>
      </c>
      <c r="AT808" s="6" t="str">
        <f>HYPERLINK("http://www.worldcat.org/oclc/33441794","WorldCat Record")</f>
        <v>WorldCat Record</v>
      </c>
      <c r="AU808" s="3" t="s">
        <v>10301</v>
      </c>
      <c r="AV808" s="3" t="s">
        <v>10302</v>
      </c>
      <c r="AW808" s="3" t="s">
        <v>10303</v>
      </c>
      <c r="AX808" s="3" t="s">
        <v>10303</v>
      </c>
      <c r="AY808" s="3" t="s">
        <v>10304</v>
      </c>
      <c r="AZ808" s="3" t="s">
        <v>75</v>
      </c>
      <c r="BB808" s="3" t="s">
        <v>10305</v>
      </c>
      <c r="BC808" s="3" t="s">
        <v>10306</v>
      </c>
      <c r="BD808" s="3" t="s">
        <v>10307</v>
      </c>
    </row>
    <row r="809" spans="1:56" ht="39" customHeight="1" x14ac:dyDescent="0.25">
      <c r="A809" s="7" t="s">
        <v>58</v>
      </c>
      <c r="B809" s="2" t="s">
        <v>10308</v>
      </c>
      <c r="C809" s="2" t="s">
        <v>10309</v>
      </c>
      <c r="D809" s="2" t="s">
        <v>10310</v>
      </c>
      <c r="F809" s="3" t="s">
        <v>58</v>
      </c>
      <c r="G809" s="3" t="s">
        <v>59</v>
      </c>
      <c r="H809" s="3" t="s">
        <v>58</v>
      </c>
      <c r="I809" s="3" t="s">
        <v>58</v>
      </c>
      <c r="J809" s="3" t="s">
        <v>60</v>
      </c>
      <c r="K809" s="2" t="s">
        <v>10311</v>
      </c>
      <c r="L809" s="2" t="s">
        <v>6062</v>
      </c>
      <c r="M809" s="3" t="s">
        <v>128</v>
      </c>
      <c r="O809" s="3" t="s">
        <v>65</v>
      </c>
      <c r="P809" s="3" t="s">
        <v>967</v>
      </c>
      <c r="R809" s="3" t="s">
        <v>68</v>
      </c>
      <c r="S809" s="4">
        <v>9</v>
      </c>
      <c r="T809" s="4">
        <v>9</v>
      </c>
      <c r="U809" s="5" t="s">
        <v>10312</v>
      </c>
      <c r="V809" s="5" t="s">
        <v>10312</v>
      </c>
      <c r="W809" s="5" t="s">
        <v>3989</v>
      </c>
      <c r="X809" s="5" t="s">
        <v>3989</v>
      </c>
      <c r="Y809" s="4">
        <v>149</v>
      </c>
      <c r="Z809" s="4">
        <v>132</v>
      </c>
      <c r="AA809" s="4">
        <v>134</v>
      </c>
      <c r="AB809" s="4">
        <v>2</v>
      </c>
      <c r="AC809" s="4">
        <v>2</v>
      </c>
      <c r="AD809" s="4">
        <v>9</v>
      </c>
      <c r="AE809" s="4">
        <v>9</v>
      </c>
      <c r="AF809" s="4">
        <v>2</v>
      </c>
      <c r="AG809" s="4">
        <v>2</v>
      </c>
      <c r="AH809" s="4">
        <v>2</v>
      </c>
      <c r="AI809" s="4">
        <v>2</v>
      </c>
      <c r="AJ809" s="4">
        <v>6</v>
      </c>
      <c r="AK809" s="4">
        <v>6</v>
      </c>
      <c r="AL809" s="4">
        <v>1</v>
      </c>
      <c r="AM809" s="4">
        <v>1</v>
      </c>
      <c r="AN809" s="4">
        <v>0</v>
      </c>
      <c r="AO809" s="4">
        <v>0</v>
      </c>
      <c r="AP809" s="3" t="s">
        <v>58</v>
      </c>
      <c r="AQ809" s="3" t="s">
        <v>58</v>
      </c>
      <c r="AS809" s="6" t="str">
        <f>HYPERLINK("https://creighton-primo.hosted.exlibrisgroup.com/primo-explore/search?tab=default_tab&amp;search_scope=EVERYTHING&amp;vid=01CRU&amp;lang=en_US&amp;offset=0&amp;query=any,contains,991004139269702656","Catalog Record")</f>
        <v>Catalog Record</v>
      </c>
      <c r="AT809" s="6" t="str">
        <f>HYPERLINK("http://www.worldcat.org/oclc/2493511","WorldCat Record")</f>
        <v>WorldCat Record</v>
      </c>
      <c r="AU809" s="3" t="s">
        <v>10313</v>
      </c>
      <c r="AV809" s="3" t="s">
        <v>10314</v>
      </c>
      <c r="AW809" s="3" t="s">
        <v>10315</v>
      </c>
      <c r="AX809" s="3" t="s">
        <v>10315</v>
      </c>
      <c r="AY809" s="3" t="s">
        <v>10316</v>
      </c>
      <c r="AZ809" s="3" t="s">
        <v>75</v>
      </c>
      <c r="BB809" s="3" t="s">
        <v>10317</v>
      </c>
      <c r="BC809" s="3" t="s">
        <v>10318</v>
      </c>
      <c r="BD809" s="3" t="s">
        <v>10319</v>
      </c>
    </row>
    <row r="810" spans="1:56" ht="39" customHeight="1" x14ac:dyDescent="0.25">
      <c r="A810" s="7" t="s">
        <v>58</v>
      </c>
      <c r="B810" s="2" t="s">
        <v>10320</v>
      </c>
      <c r="C810" s="2" t="s">
        <v>10321</v>
      </c>
      <c r="D810" s="2" t="s">
        <v>10322</v>
      </c>
      <c r="F810" s="3" t="s">
        <v>58</v>
      </c>
      <c r="G810" s="3" t="s">
        <v>59</v>
      </c>
      <c r="H810" s="3" t="s">
        <v>58</v>
      </c>
      <c r="I810" s="3" t="s">
        <v>58</v>
      </c>
      <c r="J810" s="3" t="s">
        <v>60</v>
      </c>
      <c r="K810" s="2" t="s">
        <v>10323</v>
      </c>
      <c r="L810" s="2" t="s">
        <v>10324</v>
      </c>
      <c r="M810" s="3" t="s">
        <v>3163</v>
      </c>
      <c r="O810" s="3" t="s">
        <v>65</v>
      </c>
      <c r="P810" s="3" t="s">
        <v>3202</v>
      </c>
      <c r="Q810" s="2" t="s">
        <v>10325</v>
      </c>
      <c r="R810" s="3" t="s">
        <v>68</v>
      </c>
      <c r="S810" s="4">
        <v>1</v>
      </c>
      <c r="T810" s="4">
        <v>1</v>
      </c>
      <c r="U810" s="5" t="s">
        <v>10326</v>
      </c>
      <c r="V810" s="5" t="s">
        <v>10326</v>
      </c>
      <c r="W810" s="5" t="s">
        <v>10042</v>
      </c>
      <c r="X810" s="5" t="s">
        <v>10042</v>
      </c>
      <c r="Y810" s="4">
        <v>98</v>
      </c>
      <c r="Z810" s="4">
        <v>93</v>
      </c>
      <c r="AA810" s="4">
        <v>98</v>
      </c>
      <c r="AB810" s="4">
        <v>3</v>
      </c>
      <c r="AC810" s="4">
        <v>3</v>
      </c>
      <c r="AD810" s="4">
        <v>14</v>
      </c>
      <c r="AE810" s="4">
        <v>14</v>
      </c>
      <c r="AF810" s="4">
        <v>4</v>
      </c>
      <c r="AG810" s="4">
        <v>4</v>
      </c>
      <c r="AH810" s="4">
        <v>4</v>
      </c>
      <c r="AI810" s="4">
        <v>4</v>
      </c>
      <c r="AJ810" s="4">
        <v>12</v>
      </c>
      <c r="AK810" s="4">
        <v>12</v>
      </c>
      <c r="AL810" s="4">
        <v>0</v>
      </c>
      <c r="AM810" s="4">
        <v>0</v>
      </c>
      <c r="AN810" s="4">
        <v>0</v>
      </c>
      <c r="AO810" s="4">
        <v>0</v>
      </c>
      <c r="AP810" s="3" t="s">
        <v>58</v>
      </c>
      <c r="AQ810" s="3" t="s">
        <v>58</v>
      </c>
      <c r="AS810" s="6" t="str">
        <f>HYPERLINK("https://creighton-primo.hosted.exlibrisgroup.com/primo-explore/search?tab=default_tab&amp;search_scope=EVERYTHING&amp;vid=01CRU&amp;lang=en_US&amp;offset=0&amp;query=any,contains,991004132889702656","Catalog Record")</f>
        <v>Catalog Record</v>
      </c>
      <c r="AT810" s="6" t="str">
        <f>HYPERLINK("http://www.worldcat.org/oclc/2476365","WorldCat Record")</f>
        <v>WorldCat Record</v>
      </c>
      <c r="AU810" s="3" t="s">
        <v>10327</v>
      </c>
      <c r="AV810" s="3" t="s">
        <v>10328</v>
      </c>
      <c r="AW810" s="3" t="s">
        <v>10329</v>
      </c>
      <c r="AX810" s="3" t="s">
        <v>10329</v>
      </c>
      <c r="AY810" s="3" t="s">
        <v>10330</v>
      </c>
      <c r="AZ810" s="3" t="s">
        <v>75</v>
      </c>
      <c r="BC810" s="3" t="s">
        <v>10331</v>
      </c>
      <c r="BD810" s="3" t="s">
        <v>10332</v>
      </c>
    </row>
    <row r="811" spans="1:56" ht="39" customHeight="1" x14ac:dyDescent="0.25">
      <c r="A811" s="7" t="s">
        <v>58</v>
      </c>
      <c r="B811" s="2" t="s">
        <v>10333</v>
      </c>
      <c r="C811" s="2" t="s">
        <v>10334</v>
      </c>
      <c r="D811" s="2" t="s">
        <v>10335</v>
      </c>
      <c r="F811" s="3" t="s">
        <v>58</v>
      </c>
      <c r="G811" s="3" t="s">
        <v>59</v>
      </c>
      <c r="H811" s="3" t="s">
        <v>58</v>
      </c>
      <c r="I811" s="3" t="s">
        <v>58</v>
      </c>
      <c r="J811" s="3" t="s">
        <v>60</v>
      </c>
      <c r="K811" s="2" t="s">
        <v>10336</v>
      </c>
      <c r="L811" s="2" t="s">
        <v>3380</v>
      </c>
      <c r="M811" s="3" t="s">
        <v>831</v>
      </c>
      <c r="O811" s="3" t="s">
        <v>65</v>
      </c>
      <c r="P811" s="3" t="s">
        <v>1358</v>
      </c>
      <c r="R811" s="3" t="s">
        <v>68</v>
      </c>
      <c r="S811" s="4">
        <v>6</v>
      </c>
      <c r="T811" s="4">
        <v>6</v>
      </c>
      <c r="U811" s="5" t="s">
        <v>10337</v>
      </c>
      <c r="V811" s="5" t="s">
        <v>10337</v>
      </c>
      <c r="W811" s="5" t="s">
        <v>10042</v>
      </c>
      <c r="X811" s="5" t="s">
        <v>10042</v>
      </c>
      <c r="Y811" s="4">
        <v>127</v>
      </c>
      <c r="Z811" s="4">
        <v>123</v>
      </c>
      <c r="AA811" s="4">
        <v>151</v>
      </c>
      <c r="AB811" s="4">
        <v>3</v>
      </c>
      <c r="AC811" s="4">
        <v>3</v>
      </c>
      <c r="AD811" s="4">
        <v>22</v>
      </c>
      <c r="AE811" s="4">
        <v>23</v>
      </c>
      <c r="AF811" s="4">
        <v>4</v>
      </c>
      <c r="AG811" s="4">
        <v>5</v>
      </c>
      <c r="AH811" s="4">
        <v>7</v>
      </c>
      <c r="AI811" s="4">
        <v>7</v>
      </c>
      <c r="AJ811" s="4">
        <v>18</v>
      </c>
      <c r="AK811" s="4">
        <v>19</v>
      </c>
      <c r="AL811" s="4">
        <v>0</v>
      </c>
      <c r="AM811" s="4">
        <v>0</v>
      </c>
      <c r="AN811" s="4">
        <v>0</v>
      </c>
      <c r="AO811" s="4">
        <v>0</v>
      </c>
      <c r="AP811" s="3" t="s">
        <v>58</v>
      </c>
      <c r="AQ811" s="3" t="s">
        <v>58</v>
      </c>
      <c r="AS811" s="6" t="str">
        <f>HYPERLINK("https://creighton-primo.hosted.exlibrisgroup.com/primo-explore/search?tab=default_tab&amp;search_scope=EVERYTHING&amp;vid=01CRU&amp;lang=en_US&amp;offset=0&amp;query=any,contains,991004131639702656","Catalog Record")</f>
        <v>Catalog Record</v>
      </c>
      <c r="AT811" s="6" t="str">
        <f>HYPERLINK("http://www.worldcat.org/oclc/2471340","WorldCat Record")</f>
        <v>WorldCat Record</v>
      </c>
      <c r="AU811" s="3" t="s">
        <v>10338</v>
      </c>
      <c r="AV811" s="3" t="s">
        <v>10339</v>
      </c>
      <c r="AW811" s="3" t="s">
        <v>10340</v>
      </c>
      <c r="AX811" s="3" t="s">
        <v>10340</v>
      </c>
      <c r="AY811" s="3" t="s">
        <v>10341</v>
      </c>
      <c r="AZ811" s="3" t="s">
        <v>75</v>
      </c>
      <c r="BC811" s="3" t="s">
        <v>10342</v>
      </c>
      <c r="BD811" s="3" t="s">
        <v>10343</v>
      </c>
    </row>
    <row r="812" spans="1:56" ht="39" customHeight="1" x14ac:dyDescent="0.25">
      <c r="A812" s="7" t="s">
        <v>58</v>
      </c>
      <c r="B812" s="2" t="s">
        <v>10344</v>
      </c>
      <c r="C812" s="2" t="s">
        <v>10345</v>
      </c>
      <c r="D812" s="2" t="s">
        <v>10346</v>
      </c>
      <c r="F812" s="3" t="s">
        <v>58</v>
      </c>
      <c r="G812" s="3" t="s">
        <v>59</v>
      </c>
      <c r="H812" s="3" t="s">
        <v>58</v>
      </c>
      <c r="I812" s="3" t="s">
        <v>58</v>
      </c>
      <c r="J812" s="3" t="s">
        <v>60</v>
      </c>
      <c r="K812" s="2" t="s">
        <v>10347</v>
      </c>
      <c r="L812" s="2" t="s">
        <v>10348</v>
      </c>
      <c r="M812" s="3" t="s">
        <v>682</v>
      </c>
      <c r="O812" s="3" t="s">
        <v>65</v>
      </c>
      <c r="P812" s="3" t="s">
        <v>186</v>
      </c>
      <c r="R812" s="3" t="s">
        <v>68</v>
      </c>
      <c r="S812" s="4">
        <v>2</v>
      </c>
      <c r="T812" s="4">
        <v>2</v>
      </c>
      <c r="U812" s="5" t="s">
        <v>10349</v>
      </c>
      <c r="V812" s="5" t="s">
        <v>10349</v>
      </c>
      <c r="W812" s="5" t="s">
        <v>10042</v>
      </c>
      <c r="X812" s="5" t="s">
        <v>10042</v>
      </c>
      <c r="Y812" s="4">
        <v>151</v>
      </c>
      <c r="Z812" s="4">
        <v>137</v>
      </c>
      <c r="AA812" s="4">
        <v>142</v>
      </c>
      <c r="AB812" s="4">
        <v>3</v>
      </c>
      <c r="AC812" s="4">
        <v>3</v>
      </c>
      <c r="AD812" s="4">
        <v>20</v>
      </c>
      <c r="AE812" s="4">
        <v>20</v>
      </c>
      <c r="AF812" s="4">
        <v>5</v>
      </c>
      <c r="AG812" s="4">
        <v>5</v>
      </c>
      <c r="AH812" s="4">
        <v>7</v>
      </c>
      <c r="AI812" s="4">
        <v>7</v>
      </c>
      <c r="AJ812" s="4">
        <v>16</v>
      </c>
      <c r="AK812" s="4">
        <v>16</v>
      </c>
      <c r="AL812" s="4">
        <v>0</v>
      </c>
      <c r="AM812" s="4">
        <v>0</v>
      </c>
      <c r="AN812" s="4">
        <v>0</v>
      </c>
      <c r="AO812" s="4">
        <v>0</v>
      </c>
      <c r="AP812" s="3" t="s">
        <v>58</v>
      </c>
      <c r="AQ812" s="3" t="s">
        <v>58</v>
      </c>
      <c r="AS812" s="6" t="str">
        <f>HYPERLINK("https://creighton-primo.hosted.exlibrisgroup.com/primo-explore/search?tab=default_tab&amp;search_scope=EVERYTHING&amp;vid=01CRU&amp;lang=en_US&amp;offset=0&amp;query=any,contains,991004204099702656","Catalog Record")</f>
        <v>Catalog Record</v>
      </c>
      <c r="AT812" s="6" t="str">
        <f>HYPERLINK("http://www.worldcat.org/oclc/2659556","WorldCat Record")</f>
        <v>WorldCat Record</v>
      </c>
      <c r="AU812" s="3" t="s">
        <v>10350</v>
      </c>
      <c r="AV812" s="3" t="s">
        <v>10351</v>
      </c>
      <c r="AW812" s="3" t="s">
        <v>10352</v>
      </c>
      <c r="AX812" s="3" t="s">
        <v>10352</v>
      </c>
      <c r="AY812" s="3" t="s">
        <v>10353</v>
      </c>
      <c r="AZ812" s="3" t="s">
        <v>75</v>
      </c>
      <c r="BC812" s="3" t="s">
        <v>10354</v>
      </c>
      <c r="BD812" s="3" t="s">
        <v>10355</v>
      </c>
    </row>
    <row r="813" spans="1:56" ht="39" customHeight="1" x14ac:dyDescent="0.25">
      <c r="A813" s="7" t="s">
        <v>58</v>
      </c>
      <c r="B813" s="2" t="s">
        <v>10356</v>
      </c>
      <c r="C813" s="2" t="s">
        <v>10357</v>
      </c>
      <c r="D813" s="2" t="s">
        <v>10358</v>
      </c>
      <c r="F813" s="3" t="s">
        <v>58</v>
      </c>
      <c r="G813" s="3" t="s">
        <v>59</v>
      </c>
      <c r="H813" s="3" t="s">
        <v>58</v>
      </c>
      <c r="I813" s="3" t="s">
        <v>58</v>
      </c>
      <c r="J813" s="3" t="s">
        <v>60</v>
      </c>
      <c r="K813" s="2" t="s">
        <v>10359</v>
      </c>
      <c r="L813" s="2" t="s">
        <v>10360</v>
      </c>
      <c r="M813" s="3" t="s">
        <v>631</v>
      </c>
      <c r="O813" s="3" t="s">
        <v>65</v>
      </c>
      <c r="P813" s="3" t="s">
        <v>245</v>
      </c>
      <c r="Q813" s="2" t="s">
        <v>10361</v>
      </c>
      <c r="R813" s="3" t="s">
        <v>68</v>
      </c>
      <c r="S813" s="4">
        <v>4</v>
      </c>
      <c r="T813" s="4">
        <v>4</v>
      </c>
      <c r="U813" s="5" t="s">
        <v>10362</v>
      </c>
      <c r="V813" s="5" t="s">
        <v>10362</v>
      </c>
      <c r="W813" s="5" t="s">
        <v>10042</v>
      </c>
      <c r="X813" s="5" t="s">
        <v>10042</v>
      </c>
      <c r="Y813" s="4">
        <v>194</v>
      </c>
      <c r="Z813" s="4">
        <v>144</v>
      </c>
      <c r="AA813" s="4">
        <v>149</v>
      </c>
      <c r="AB813" s="4">
        <v>1</v>
      </c>
      <c r="AC813" s="4">
        <v>1</v>
      </c>
      <c r="AD813" s="4">
        <v>10</v>
      </c>
      <c r="AE813" s="4">
        <v>12</v>
      </c>
      <c r="AF813" s="4">
        <v>2</v>
      </c>
      <c r="AG813" s="4">
        <v>2</v>
      </c>
      <c r="AH813" s="4">
        <v>4</v>
      </c>
      <c r="AI813" s="4">
        <v>4</v>
      </c>
      <c r="AJ813" s="4">
        <v>7</v>
      </c>
      <c r="AK813" s="4">
        <v>9</v>
      </c>
      <c r="AL813" s="4">
        <v>0</v>
      </c>
      <c r="AM813" s="4">
        <v>0</v>
      </c>
      <c r="AN813" s="4">
        <v>0</v>
      </c>
      <c r="AO813" s="4">
        <v>0</v>
      </c>
      <c r="AP813" s="3" t="s">
        <v>58</v>
      </c>
      <c r="AQ813" s="3" t="s">
        <v>132</v>
      </c>
      <c r="AR813" s="6" t="str">
        <f>HYPERLINK("http://catalog.hathitrust.org/Record/006019493","HathiTrust Record")</f>
        <v>HathiTrust Record</v>
      </c>
      <c r="AS813" s="6" t="str">
        <f>HYPERLINK("https://creighton-primo.hosted.exlibrisgroup.com/primo-explore/search?tab=default_tab&amp;search_scope=EVERYTHING&amp;vid=01CRU&amp;lang=en_US&amp;offset=0&amp;query=any,contains,991004017139702656","Catalog Record")</f>
        <v>Catalog Record</v>
      </c>
      <c r="AT813" s="6" t="str">
        <f>HYPERLINK("http://www.worldcat.org/oclc/2113883","WorldCat Record")</f>
        <v>WorldCat Record</v>
      </c>
      <c r="AU813" s="3" t="s">
        <v>10363</v>
      </c>
      <c r="AV813" s="3" t="s">
        <v>10364</v>
      </c>
      <c r="AW813" s="3" t="s">
        <v>10365</v>
      </c>
      <c r="AX813" s="3" t="s">
        <v>10365</v>
      </c>
      <c r="AY813" s="3" t="s">
        <v>10366</v>
      </c>
      <c r="AZ813" s="3" t="s">
        <v>75</v>
      </c>
      <c r="BC813" s="3" t="s">
        <v>10367</v>
      </c>
      <c r="BD813" s="3" t="s">
        <v>10368</v>
      </c>
    </row>
    <row r="814" spans="1:56" ht="39" customHeight="1" x14ac:dyDescent="0.25">
      <c r="A814" s="7" t="s">
        <v>58</v>
      </c>
      <c r="B814" s="2" t="s">
        <v>10369</v>
      </c>
      <c r="C814" s="2" t="s">
        <v>10370</v>
      </c>
      <c r="D814" s="2" t="s">
        <v>10371</v>
      </c>
      <c r="F814" s="3" t="s">
        <v>58</v>
      </c>
      <c r="G814" s="3" t="s">
        <v>59</v>
      </c>
      <c r="H814" s="3" t="s">
        <v>58</v>
      </c>
      <c r="I814" s="3" t="s">
        <v>58</v>
      </c>
      <c r="J814" s="3" t="s">
        <v>60</v>
      </c>
      <c r="K814" s="2" t="s">
        <v>10372</v>
      </c>
      <c r="L814" s="2" t="s">
        <v>3023</v>
      </c>
      <c r="M814" s="3" t="s">
        <v>781</v>
      </c>
      <c r="O814" s="3" t="s">
        <v>65</v>
      </c>
      <c r="P814" s="3" t="s">
        <v>186</v>
      </c>
      <c r="R814" s="3" t="s">
        <v>68</v>
      </c>
      <c r="S814" s="4">
        <v>5</v>
      </c>
      <c r="T814" s="4">
        <v>5</v>
      </c>
      <c r="U814" s="5" t="s">
        <v>10373</v>
      </c>
      <c r="V814" s="5" t="s">
        <v>10373</v>
      </c>
      <c r="W814" s="5" t="s">
        <v>10374</v>
      </c>
      <c r="X814" s="5" t="s">
        <v>10374</v>
      </c>
      <c r="Y814" s="4">
        <v>204</v>
      </c>
      <c r="Z814" s="4">
        <v>173</v>
      </c>
      <c r="AA814" s="4">
        <v>179</v>
      </c>
      <c r="AB814" s="4">
        <v>3</v>
      </c>
      <c r="AC814" s="4">
        <v>3</v>
      </c>
      <c r="AD814" s="4">
        <v>12</v>
      </c>
      <c r="AE814" s="4">
        <v>12</v>
      </c>
      <c r="AF814" s="4">
        <v>1</v>
      </c>
      <c r="AG814" s="4">
        <v>1</v>
      </c>
      <c r="AH814" s="4">
        <v>3</v>
      </c>
      <c r="AI814" s="4">
        <v>3</v>
      </c>
      <c r="AJ814" s="4">
        <v>9</v>
      </c>
      <c r="AK814" s="4">
        <v>9</v>
      </c>
      <c r="AL814" s="4">
        <v>1</v>
      </c>
      <c r="AM814" s="4">
        <v>1</v>
      </c>
      <c r="AN814" s="4">
        <v>0</v>
      </c>
      <c r="AO814" s="4">
        <v>0</v>
      </c>
      <c r="AP814" s="3" t="s">
        <v>58</v>
      </c>
      <c r="AQ814" s="3" t="s">
        <v>58</v>
      </c>
      <c r="AS814" s="6" t="str">
        <f>HYPERLINK("https://creighton-primo.hosted.exlibrisgroup.com/primo-explore/search?tab=default_tab&amp;search_scope=EVERYTHING&amp;vid=01CRU&amp;lang=en_US&amp;offset=0&amp;query=any,contains,991000800459702656","Catalog Record")</f>
        <v>Catalog Record</v>
      </c>
      <c r="AT814" s="6" t="str">
        <f>HYPERLINK("http://www.worldcat.org/oclc/13219268","WorldCat Record")</f>
        <v>WorldCat Record</v>
      </c>
      <c r="AU814" s="3" t="s">
        <v>10375</v>
      </c>
      <c r="AV814" s="3" t="s">
        <v>10376</v>
      </c>
      <c r="AW814" s="3" t="s">
        <v>10377</v>
      </c>
      <c r="AX814" s="3" t="s">
        <v>10377</v>
      </c>
      <c r="AY814" s="3" t="s">
        <v>10378</v>
      </c>
      <c r="AZ814" s="3" t="s">
        <v>75</v>
      </c>
      <c r="BB814" s="3" t="s">
        <v>10379</v>
      </c>
      <c r="BC814" s="3" t="s">
        <v>10380</v>
      </c>
      <c r="BD814" s="3" t="s">
        <v>10381</v>
      </c>
    </row>
    <row r="815" spans="1:56" ht="39" customHeight="1" x14ac:dyDescent="0.25">
      <c r="A815" s="7" t="s">
        <v>58</v>
      </c>
      <c r="B815" s="2" t="s">
        <v>10382</v>
      </c>
      <c r="C815" s="2" t="s">
        <v>10383</v>
      </c>
      <c r="D815" s="2" t="s">
        <v>10384</v>
      </c>
      <c r="F815" s="3" t="s">
        <v>58</v>
      </c>
      <c r="G815" s="3" t="s">
        <v>59</v>
      </c>
      <c r="H815" s="3" t="s">
        <v>58</v>
      </c>
      <c r="I815" s="3" t="s">
        <v>58</v>
      </c>
      <c r="J815" s="3" t="s">
        <v>60</v>
      </c>
      <c r="K815" s="2" t="s">
        <v>10385</v>
      </c>
      <c r="L815" s="2" t="s">
        <v>10386</v>
      </c>
      <c r="M815" s="3" t="s">
        <v>215</v>
      </c>
      <c r="O815" s="3" t="s">
        <v>65</v>
      </c>
      <c r="P815" s="3" t="s">
        <v>304</v>
      </c>
      <c r="R815" s="3" t="s">
        <v>68</v>
      </c>
      <c r="S815" s="4">
        <v>7</v>
      </c>
      <c r="T815" s="4">
        <v>7</v>
      </c>
      <c r="U815" s="5" t="s">
        <v>10387</v>
      </c>
      <c r="V815" s="5" t="s">
        <v>10387</v>
      </c>
      <c r="W815" s="5" t="s">
        <v>6843</v>
      </c>
      <c r="X815" s="5" t="s">
        <v>6843</v>
      </c>
      <c r="Y815" s="4">
        <v>203</v>
      </c>
      <c r="Z815" s="4">
        <v>193</v>
      </c>
      <c r="AA815" s="4">
        <v>214</v>
      </c>
      <c r="AB815" s="4">
        <v>4</v>
      </c>
      <c r="AC815" s="4">
        <v>4</v>
      </c>
      <c r="AD815" s="4">
        <v>5</v>
      </c>
      <c r="AE815" s="4">
        <v>5</v>
      </c>
      <c r="AF815" s="4">
        <v>2</v>
      </c>
      <c r="AG815" s="4">
        <v>2</v>
      </c>
      <c r="AH815" s="4">
        <v>0</v>
      </c>
      <c r="AI815" s="4">
        <v>0</v>
      </c>
      <c r="AJ815" s="4">
        <v>1</v>
      </c>
      <c r="AK815" s="4">
        <v>1</v>
      </c>
      <c r="AL815" s="4">
        <v>2</v>
      </c>
      <c r="AM815" s="4">
        <v>2</v>
      </c>
      <c r="AN815" s="4">
        <v>0</v>
      </c>
      <c r="AO815" s="4">
        <v>0</v>
      </c>
      <c r="AP815" s="3" t="s">
        <v>58</v>
      </c>
      <c r="AQ815" s="3" t="s">
        <v>58</v>
      </c>
      <c r="AS815" s="6" t="str">
        <f>HYPERLINK("https://creighton-primo.hosted.exlibrisgroup.com/primo-explore/search?tab=default_tab&amp;search_scope=EVERYTHING&amp;vid=01CRU&amp;lang=en_US&amp;offset=0&amp;query=any,contains,991001156059702656","Catalog Record")</f>
        <v>Catalog Record</v>
      </c>
      <c r="AT815" s="6" t="str">
        <f>HYPERLINK("http://www.worldcat.org/oclc/16856952","WorldCat Record")</f>
        <v>WorldCat Record</v>
      </c>
      <c r="AU815" s="3" t="s">
        <v>10388</v>
      </c>
      <c r="AV815" s="3" t="s">
        <v>10389</v>
      </c>
      <c r="AW815" s="3" t="s">
        <v>10390</v>
      </c>
      <c r="AX815" s="3" t="s">
        <v>10390</v>
      </c>
      <c r="AY815" s="3" t="s">
        <v>10391</v>
      </c>
      <c r="AZ815" s="3" t="s">
        <v>75</v>
      </c>
      <c r="BB815" s="3" t="s">
        <v>10392</v>
      </c>
      <c r="BC815" s="3" t="s">
        <v>10393</v>
      </c>
      <c r="BD815" s="3" t="s">
        <v>10394</v>
      </c>
    </row>
    <row r="816" spans="1:56" ht="39" customHeight="1" x14ac:dyDescent="0.25">
      <c r="A816" s="7" t="s">
        <v>58</v>
      </c>
      <c r="B816" s="2" t="s">
        <v>10395</v>
      </c>
      <c r="C816" s="2" t="s">
        <v>10396</v>
      </c>
      <c r="D816" s="2" t="s">
        <v>10397</v>
      </c>
      <c r="F816" s="3" t="s">
        <v>58</v>
      </c>
      <c r="G816" s="3" t="s">
        <v>59</v>
      </c>
      <c r="H816" s="3" t="s">
        <v>58</v>
      </c>
      <c r="I816" s="3" t="s">
        <v>58</v>
      </c>
      <c r="J816" s="3" t="s">
        <v>60</v>
      </c>
      <c r="K816" s="2" t="s">
        <v>10398</v>
      </c>
      <c r="L816" s="2" t="s">
        <v>10399</v>
      </c>
      <c r="M816" s="3" t="s">
        <v>128</v>
      </c>
      <c r="O816" s="3" t="s">
        <v>65</v>
      </c>
      <c r="P816" s="3" t="s">
        <v>1246</v>
      </c>
      <c r="R816" s="3" t="s">
        <v>68</v>
      </c>
      <c r="S816" s="4">
        <v>0</v>
      </c>
      <c r="T816" s="4">
        <v>0</v>
      </c>
      <c r="U816" s="5" t="s">
        <v>10400</v>
      </c>
      <c r="V816" s="5" t="s">
        <v>10400</v>
      </c>
      <c r="W816" s="5" t="s">
        <v>10042</v>
      </c>
      <c r="X816" s="5" t="s">
        <v>10042</v>
      </c>
      <c r="Y816" s="4">
        <v>700</v>
      </c>
      <c r="Z816" s="4">
        <v>626</v>
      </c>
      <c r="AA816" s="4">
        <v>628</v>
      </c>
      <c r="AB816" s="4">
        <v>4</v>
      </c>
      <c r="AC816" s="4">
        <v>4</v>
      </c>
      <c r="AD816" s="4">
        <v>31</v>
      </c>
      <c r="AE816" s="4">
        <v>31</v>
      </c>
      <c r="AF816" s="4">
        <v>14</v>
      </c>
      <c r="AG816" s="4">
        <v>14</v>
      </c>
      <c r="AH816" s="4">
        <v>6</v>
      </c>
      <c r="AI816" s="4">
        <v>6</v>
      </c>
      <c r="AJ816" s="4">
        <v>16</v>
      </c>
      <c r="AK816" s="4">
        <v>16</v>
      </c>
      <c r="AL816" s="4">
        <v>3</v>
      </c>
      <c r="AM816" s="4">
        <v>3</v>
      </c>
      <c r="AN816" s="4">
        <v>0</v>
      </c>
      <c r="AO816" s="4">
        <v>0</v>
      </c>
      <c r="AP816" s="3" t="s">
        <v>58</v>
      </c>
      <c r="AQ816" s="3" t="s">
        <v>132</v>
      </c>
      <c r="AR816" s="6" t="str">
        <f>HYPERLINK("http://catalog.hathitrust.org/Record/000213579","HathiTrust Record")</f>
        <v>HathiTrust Record</v>
      </c>
      <c r="AS816" s="6" t="str">
        <f>HYPERLINK("https://creighton-primo.hosted.exlibrisgroup.com/primo-explore/search?tab=default_tab&amp;search_scope=EVERYTHING&amp;vid=01CRU&amp;lang=en_US&amp;offset=0&amp;query=any,contains,991004296229702656","Catalog Record")</f>
        <v>Catalog Record</v>
      </c>
      <c r="AT816" s="6" t="str">
        <f>HYPERLINK("http://www.worldcat.org/oclc/2964823","WorldCat Record")</f>
        <v>WorldCat Record</v>
      </c>
      <c r="AU816" s="3" t="s">
        <v>10401</v>
      </c>
      <c r="AV816" s="3" t="s">
        <v>10402</v>
      </c>
      <c r="AW816" s="3" t="s">
        <v>10403</v>
      </c>
      <c r="AX816" s="3" t="s">
        <v>10403</v>
      </c>
      <c r="AY816" s="3" t="s">
        <v>10404</v>
      </c>
      <c r="AZ816" s="3" t="s">
        <v>75</v>
      </c>
      <c r="BB816" s="3" t="s">
        <v>10405</v>
      </c>
      <c r="BC816" s="3" t="s">
        <v>10406</v>
      </c>
      <c r="BD816" s="3" t="s">
        <v>10407</v>
      </c>
    </row>
    <row r="817" spans="1:56" ht="39" customHeight="1" x14ac:dyDescent="0.25">
      <c r="A817" s="7" t="s">
        <v>58</v>
      </c>
      <c r="B817" s="2" t="s">
        <v>10408</v>
      </c>
      <c r="C817" s="2" t="s">
        <v>10409</v>
      </c>
      <c r="D817" s="2" t="s">
        <v>10410</v>
      </c>
      <c r="F817" s="3" t="s">
        <v>58</v>
      </c>
      <c r="G817" s="3" t="s">
        <v>59</v>
      </c>
      <c r="H817" s="3" t="s">
        <v>58</v>
      </c>
      <c r="I817" s="3" t="s">
        <v>58</v>
      </c>
      <c r="J817" s="3" t="s">
        <v>60</v>
      </c>
      <c r="K817" s="2" t="s">
        <v>10411</v>
      </c>
      <c r="L817" s="2" t="s">
        <v>10412</v>
      </c>
      <c r="M817" s="3" t="s">
        <v>709</v>
      </c>
      <c r="O817" s="3" t="s">
        <v>65</v>
      </c>
      <c r="P817" s="3" t="s">
        <v>304</v>
      </c>
      <c r="R817" s="3" t="s">
        <v>68</v>
      </c>
      <c r="S817" s="4">
        <v>1</v>
      </c>
      <c r="T817" s="4">
        <v>1</v>
      </c>
      <c r="U817" s="5" t="s">
        <v>1034</v>
      </c>
      <c r="V817" s="5" t="s">
        <v>1034</v>
      </c>
      <c r="W817" s="5" t="s">
        <v>1034</v>
      </c>
      <c r="X817" s="5" t="s">
        <v>1034</v>
      </c>
      <c r="Y817" s="4">
        <v>161</v>
      </c>
      <c r="Z817" s="4">
        <v>145</v>
      </c>
      <c r="AA817" s="4">
        <v>145</v>
      </c>
      <c r="AB817" s="4">
        <v>3</v>
      </c>
      <c r="AC817" s="4">
        <v>3</v>
      </c>
      <c r="AD817" s="4">
        <v>3</v>
      </c>
      <c r="AE817" s="4">
        <v>3</v>
      </c>
      <c r="AF817" s="4">
        <v>1</v>
      </c>
      <c r="AG817" s="4">
        <v>1</v>
      </c>
      <c r="AH817" s="4">
        <v>0</v>
      </c>
      <c r="AI817" s="4">
        <v>0</v>
      </c>
      <c r="AJ817" s="4">
        <v>2</v>
      </c>
      <c r="AK817" s="4">
        <v>2</v>
      </c>
      <c r="AL817" s="4">
        <v>0</v>
      </c>
      <c r="AM817" s="4">
        <v>0</v>
      </c>
      <c r="AN817" s="4">
        <v>0</v>
      </c>
      <c r="AO817" s="4">
        <v>0</v>
      </c>
      <c r="AP817" s="3" t="s">
        <v>58</v>
      </c>
      <c r="AQ817" s="3" t="s">
        <v>58</v>
      </c>
      <c r="AS817" s="6" t="str">
        <f>HYPERLINK("https://creighton-primo.hosted.exlibrisgroup.com/primo-explore/search?tab=default_tab&amp;search_scope=EVERYTHING&amp;vid=01CRU&amp;lang=en_US&amp;offset=0&amp;query=any,contains,991005090499702656","Catalog Record")</f>
        <v>Catalog Record</v>
      </c>
      <c r="AT817" s="6" t="str">
        <f>HYPERLINK("http://www.worldcat.org/oclc/21038722","WorldCat Record")</f>
        <v>WorldCat Record</v>
      </c>
      <c r="AU817" s="3" t="s">
        <v>10413</v>
      </c>
      <c r="AV817" s="3" t="s">
        <v>10414</v>
      </c>
      <c r="AW817" s="3" t="s">
        <v>10415</v>
      </c>
      <c r="AX817" s="3" t="s">
        <v>10415</v>
      </c>
      <c r="AY817" s="3" t="s">
        <v>10416</v>
      </c>
      <c r="AZ817" s="3" t="s">
        <v>75</v>
      </c>
      <c r="BB817" s="3" t="s">
        <v>10417</v>
      </c>
      <c r="BC817" s="3" t="s">
        <v>10418</v>
      </c>
      <c r="BD817" s="3" t="s">
        <v>10419</v>
      </c>
    </row>
    <row r="818" spans="1:56" ht="39" customHeight="1" x14ac:dyDescent="0.25">
      <c r="A818" s="7" t="s">
        <v>58</v>
      </c>
      <c r="B818" s="2" t="s">
        <v>10420</v>
      </c>
      <c r="C818" s="2" t="s">
        <v>10421</v>
      </c>
      <c r="D818" s="2" t="s">
        <v>10422</v>
      </c>
      <c r="F818" s="3" t="s">
        <v>58</v>
      </c>
      <c r="G818" s="3" t="s">
        <v>59</v>
      </c>
      <c r="H818" s="3" t="s">
        <v>58</v>
      </c>
      <c r="I818" s="3" t="s">
        <v>58</v>
      </c>
      <c r="J818" s="3" t="s">
        <v>60</v>
      </c>
      <c r="K818" s="2" t="s">
        <v>10423</v>
      </c>
      <c r="L818" s="2" t="s">
        <v>10424</v>
      </c>
      <c r="M818" s="3" t="s">
        <v>112</v>
      </c>
      <c r="O818" s="3" t="s">
        <v>65</v>
      </c>
      <c r="P818" s="3" t="s">
        <v>186</v>
      </c>
      <c r="R818" s="3" t="s">
        <v>68</v>
      </c>
      <c r="S818" s="4">
        <v>3</v>
      </c>
      <c r="T818" s="4">
        <v>3</v>
      </c>
      <c r="U818" s="5" t="s">
        <v>10425</v>
      </c>
      <c r="V818" s="5" t="s">
        <v>10425</v>
      </c>
      <c r="W818" s="5" t="s">
        <v>8315</v>
      </c>
      <c r="X818" s="5" t="s">
        <v>8315</v>
      </c>
      <c r="Y818" s="4">
        <v>164</v>
      </c>
      <c r="Z818" s="4">
        <v>154</v>
      </c>
      <c r="AA818" s="4">
        <v>176</v>
      </c>
      <c r="AB818" s="4">
        <v>1</v>
      </c>
      <c r="AC818" s="4">
        <v>1</v>
      </c>
      <c r="AD818" s="4">
        <v>11</v>
      </c>
      <c r="AE818" s="4">
        <v>12</v>
      </c>
      <c r="AF818" s="4">
        <v>4</v>
      </c>
      <c r="AG818" s="4">
        <v>5</v>
      </c>
      <c r="AH818" s="4">
        <v>2</v>
      </c>
      <c r="AI818" s="4">
        <v>2</v>
      </c>
      <c r="AJ818" s="4">
        <v>7</v>
      </c>
      <c r="AK818" s="4">
        <v>7</v>
      </c>
      <c r="AL818" s="4">
        <v>0</v>
      </c>
      <c r="AM818" s="4">
        <v>0</v>
      </c>
      <c r="AN818" s="4">
        <v>0</v>
      </c>
      <c r="AO818" s="4">
        <v>0</v>
      </c>
      <c r="AP818" s="3" t="s">
        <v>58</v>
      </c>
      <c r="AQ818" s="3" t="s">
        <v>58</v>
      </c>
      <c r="AS818" s="6" t="str">
        <f>HYPERLINK("https://creighton-primo.hosted.exlibrisgroup.com/primo-explore/search?tab=default_tab&amp;search_scope=EVERYTHING&amp;vid=01CRU&amp;lang=en_US&amp;offset=0&amp;query=any,contains,991004203789702656","Catalog Record")</f>
        <v>Catalog Record</v>
      </c>
      <c r="AT818" s="6" t="str">
        <f>HYPERLINK("http://www.worldcat.org/oclc/25675927","WorldCat Record")</f>
        <v>WorldCat Record</v>
      </c>
      <c r="AU818" s="3" t="s">
        <v>10426</v>
      </c>
      <c r="AV818" s="3" t="s">
        <v>10427</v>
      </c>
      <c r="AW818" s="3" t="s">
        <v>10428</v>
      </c>
      <c r="AX818" s="3" t="s">
        <v>10428</v>
      </c>
      <c r="AY818" s="3" t="s">
        <v>10429</v>
      </c>
      <c r="AZ818" s="3" t="s">
        <v>75</v>
      </c>
      <c r="BB818" s="3" t="s">
        <v>10430</v>
      </c>
      <c r="BC818" s="3" t="s">
        <v>10431</v>
      </c>
      <c r="BD818" s="3" t="s">
        <v>10432</v>
      </c>
    </row>
    <row r="819" spans="1:56" ht="39" customHeight="1" x14ac:dyDescent="0.25">
      <c r="A819" s="7" t="s">
        <v>58</v>
      </c>
      <c r="B819" s="2" t="s">
        <v>10433</v>
      </c>
      <c r="C819" s="2" t="s">
        <v>10434</v>
      </c>
      <c r="D819" s="2" t="s">
        <v>10435</v>
      </c>
      <c r="F819" s="3" t="s">
        <v>58</v>
      </c>
      <c r="G819" s="3" t="s">
        <v>59</v>
      </c>
      <c r="H819" s="3" t="s">
        <v>58</v>
      </c>
      <c r="I819" s="3" t="s">
        <v>58</v>
      </c>
      <c r="J819" s="3" t="s">
        <v>60</v>
      </c>
      <c r="K819" s="2" t="s">
        <v>8481</v>
      </c>
      <c r="L819" s="2" t="s">
        <v>10436</v>
      </c>
      <c r="M819" s="3" t="s">
        <v>157</v>
      </c>
      <c r="O819" s="3" t="s">
        <v>65</v>
      </c>
      <c r="P819" s="3" t="s">
        <v>186</v>
      </c>
      <c r="R819" s="3" t="s">
        <v>68</v>
      </c>
      <c r="S819" s="4">
        <v>8</v>
      </c>
      <c r="T819" s="4">
        <v>8</v>
      </c>
      <c r="U819" s="5" t="s">
        <v>6943</v>
      </c>
      <c r="V819" s="5" t="s">
        <v>6943</v>
      </c>
      <c r="W819" s="5" t="s">
        <v>10042</v>
      </c>
      <c r="X819" s="5" t="s">
        <v>10042</v>
      </c>
      <c r="Y819" s="4">
        <v>143</v>
      </c>
      <c r="Z819" s="4">
        <v>132</v>
      </c>
      <c r="AA819" s="4">
        <v>503</v>
      </c>
      <c r="AB819" s="4">
        <v>1</v>
      </c>
      <c r="AC819" s="4">
        <v>5</v>
      </c>
      <c r="AD819" s="4">
        <v>8</v>
      </c>
      <c r="AE819" s="4">
        <v>25</v>
      </c>
      <c r="AF819" s="4">
        <v>1</v>
      </c>
      <c r="AG819" s="4">
        <v>8</v>
      </c>
      <c r="AH819" s="4">
        <v>3</v>
      </c>
      <c r="AI819" s="4">
        <v>7</v>
      </c>
      <c r="AJ819" s="4">
        <v>6</v>
      </c>
      <c r="AK819" s="4">
        <v>11</v>
      </c>
      <c r="AL819" s="4">
        <v>0</v>
      </c>
      <c r="AM819" s="4">
        <v>4</v>
      </c>
      <c r="AN819" s="4">
        <v>0</v>
      </c>
      <c r="AO819" s="4">
        <v>0</v>
      </c>
      <c r="AP819" s="3" t="s">
        <v>58</v>
      </c>
      <c r="AQ819" s="3" t="s">
        <v>58</v>
      </c>
      <c r="AS819" s="6" t="str">
        <f>HYPERLINK("https://creighton-primo.hosted.exlibrisgroup.com/primo-explore/search?tab=default_tab&amp;search_scope=EVERYTHING&amp;vid=01CRU&amp;lang=en_US&amp;offset=0&amp;query=any,contains,991000019859702656","Catalog Record")</f>
        <v>Catalog Record</v>
      </c>
      <c r="AT819" s="6" t="str">
        <f>HYPERLINK("http://www.worldcat.org/oclc/8562605","WorldCat Record")</f>
        <v>WorldCat Record</v>
      </c>
      <c r="AU819" s="3" t="s">
        <v>10437</v>
      </c>
      <c r="AV819" s="3" t="s">
        <v>10438</v>
      </c>
      <c r="AW819" s="3" t="s">
        <v>10439</v>
      </c>
      <c r="AX819" s="3" t="s">
        <v>10439</v>
      </c>
      <c r="AY819" s="3" t="s">
        <v>10440</v>
      </c>
      <c r="AZ819" s="3" t="s">
        <v>75</v>
      </c>
      <c r="BB819" s="3" t="s">
        <v>10441</v>
      </c>
      <c r="BC819" s="3" t="s">
        <v>10442</v>
      </c>
      <c r="BD819" s="3" t="s">
        <v>10443</v>
      </c>
    </row>
    <row r="820" spans="1:56" ht="39" customHeight="1" x14ac:dyDescent="0.25">
      <c r="A820" s="7" t="s">
        <v>58</v>
      </c>
      <c r="B820" s="2" t="s">
        <v>10444</v>
      </c>
      <c r="C820" s="2" t="s">
        <v>10445</v>
      </c>
      <c r="D820" s="2" t="s">
        <v>10446</v>
      </c>
      <c r="F820" s="3" t="s">
        <v>58</v>
      </c>
      <c r="G820" s="3" t="s">
        <v>59</v>
      </c>
      <c r="H820" s="3" t="s">
        <v>58</v>
      </c>
      <c r="I820" s="3" t="s">
        <v>58</v>
      </c>
      <c r="J820" s="3" t="s">
        <v>60</v>
      </c>
      <c r="K820" s="2" t="s">
        <v>10447</v>
      </c>
      <c r="L820" s="2" t="s">
        <v>10448</v>
      </c>
      <c r="M820" s="3" t="s">
        <v>303</v>
      </c>
      <c r="O820" s="3" t="s">
        <v>65</v>
      </c>
      <c r="P820" s="3" t="s">
        <v>10449</v>
      </c>
      <c r="R820" s="3" t="s">
        <v>68</v>
      </c>
      <c r="S820" s="4">
        <v>3</v>
      </c>
      <c r="T820" s="4">
        <v>3</v>
      </c>
      <c r="U820" s="5" t="s">
        <v>6943</v>
      </c>
      <c r="V820" s="5" t="s">
        <v>6943</v>
      </c>
      <c r="W820" s="5" t="s">
        <v>10042</v>
      </c>
      <c r="X820" s="5" t="s">
        <v>10042</v>
      </c>
      <c r="Y820" s="4">
        <v>256</v>
      </c>
      <c r="Z820" s="4">
        <v>232</v>
      </c>
      <c r="AA820" s="4">
        <v>302</v>
      </c>
      <c r="AB820" s="4">
        <v>2</v>
      </c>
      <c r="AC820" s="4">
        <v>5</v>
      </c>
      <c r="AD820" s="4">
        <v>8</v>
      </c>
      <c r="AE820" s="4">
        <v>11</v>
      </c>
      <c r="AF820" s="4">
        <v>2</v>
      </c>
      <c r="AG820" s="4">
        <v>2</v>
      </c>
      <c r="AH820" s="4">
        <v>1</v>
      </c>
      <c r="AI820" s="4">
        <v>2</v>
      </c>
      <c r="AJ820" s="4">
        <v>5</v>
      </c>
      <c r="AK820" s="4">
        <v>6</v>
      </c>
      <c r="AL820" s="4">
        <v>1</v>
      </c>
      <c r="AM820" s="4">
        <v>2</v>
      </c>
      <c r="AN820" s="4">
        <v>0</v>
      </c>
      <c r="AO820" s="4">
        <v>0</v>
      </c>
      <c r="AP820" s="3" t="s">
        <v>58</v>
      </c>
      <c r="AQ820" s="3" t="s">
        <v>58</v>
      </c>
      <c r="AS820" s="6" t="str">
        <f>HYPERLINK("https://creighton-primo.hosted.exlibrisgroup.com/primo-explore/search?tab=default_tab&amp;search_scope=EVERYTHING&amp;vid=01CRU&amp;lang=en_US&amp;offset=0&amp;query=any,contains,991004132339702656","Catalog Record")</f>
        <v>Catalog Record</v>
      </c>
      <c r="AT820" s="6" t="str">
        <f>HYPERLINK("http://www.worldcat.org/oclc/2474313","WorldCat Record")</f>
        <v>WorldCat Record</v>
      </c>
      <c r="AU820" s="3" t="s">
        <v>10450</v>
      </c>
      <c r="AV820" s="3" t="s">
        <v>10451</v>
      </c>
      <c r="AW820" s="3" t="s">
        <v>10452</v>
      </c>
      <c r="AX820" s="3" t="s">
        <v>10452</v>
      </c>
      <c r="AY820" s="3" t="s">
        <v>10453</v>
      </c>
      <c r="AZ820" s="3" t="s">
        <v>75</v>
      </c>
      <c r="BB820" s="3" t="s">
        <v>10454</v>
      </c>
      <c r="BC820" s="3" t="s">
        <v>10455</v>
      </c>
      <c r="BD820" s="3" t="s">
        <v>10456</v>
      </c>
    </row>
    <row r="821" spans="1:56" ht="39" customHeight="1" x14ac:dyDescent="0.25">
      <c r="A821" s="7" t="s">
        <v>58</v>
      </c>
      <c r="B821" s="2" t="s">
        <v>10457</v>
      </c>
      <c r="C821" s="2" t="s">
        <v>10458</v>
      </c>
      <c r="D821" s="2" t="s">
        <v>10459</v>
      </c>
      <c r="F821" s="3" t="s">
        <v>58</v>
      </c>
      <c r="G821" s="3" t="s">
        <v>59</v>
      </c>
      <c r="H821" s="3" t="s">
        <v>58</v>
      </c>
      <c r="I821" s="3" t="s">
        <v>58</v>
      </c>
      <c r="J821" s="3" t="s">
        <v>60</v>
      </c>
      <c r="K821" s="2" t="s">
        <v>10460</v>
      </c>
      <c r="L821" s="2" t="s">
        <v>9437</v>
      </c>
      <c r="M821" s="3" t="s">
        <v>318</v>
      </c>
      <c r="O821" s="3" t="s">
        <v>65</v>
      </c>
      <c r="P821" s="3" t="s">
        <v>186</v>
      </c>
      <c r="R821" s="3" t="s">
        <v>68</v>
      </c>
      <c r="S821" s="4">
        <v>2</v>
      </c>
      <c r="T821" s="4">
        <v>2</v>
      </c>
      <c r="U821" s="5" t="s">
        <v>10461</v>
      </c>
      <c r="V821" s="5" t="s">
        <v>10461</v>
      </c>
      <c r="W821" s="5" t="s">
        <v>10462</v>
      </c>
      <c r="X821" s="5" t="s">
        <v>10462</v>
      </c>
      <c r="Y821" s="4">
        <v>144</v>
      </c>
      <c r="Z821" s="4">
        <v>122</v>
      </c>
      <c r="AA821" s="4">
        <v>123</v>
      </c>
      <c r="AB821" s="4">
        <v>2</v>
      </c>
      <c r="AC821" s="4">
        <v>2</v>
      </c>
      <c r="AD821" s="4">
        <v>8</v>
      </c>
      <c r="AE821" s="4">
        <v>8</v>
      </c>
      <c r="AF821" s="4">
        <v>2</v>
      </c>
      <c r="AG821" s="4">
        <v>2</v>
      </c>
      <c r="AH821" s="4">
        <v>2</v>
      </c>
      <c r="AI821" s="4">
        <v>2</v>
      </c>
      <c r="AJ821" s="4">
        <v>4</v>
      </c>
      <c r="AK821" s="4">
        <v>4</v>
      </c>
      <c r="AL821" s="4">
        <v>1</v>
      </c>
      <c r="AM821" s="4">
        <v>1</v>
      </c>
      <c r="AN821" s="4">
        <v>0</v>
      </c>
      <c r="AO821" s="4">
        <v>0</v>
      </c>
      <c r="AP821" s="3" t="s">
        <v>58</v>
      </c>
      <c r="AQ821" s="3" t="s">
        <v>132</v>
      </c>
      <c r="AR821" s="6" t="str">
        <f>HYPERLINK("http://catalog.hathitrust.org/Record/004029471","HathiTrust Record")</f>
        <v>HathiTrust Record</v>
      </c>
      <c r="AS821" s="6" t="str">
        <f>HYPERLINK("https://creighton-primo.hosted.exlibrisgroup.com/primo-explore/search?tab=default_tab&amp;search_scope=EVERYTHING&amp;vid=01CRU&amp;lang=en_US&amp;offset=0&amp;query=any,contains,991002947419702656","Catalog Record")</f>
        <v>Catalog Record</v>
      </c>
      <c r="AT821" s="6" t="str">
        <f>HYPERLINK("http://www.worldcat.org/oclc/39261844","WorldCat Record")</f>
        <v>WorldCat Record</v>
      </c>
      <c r="AU821" s="3" t="s">
        <v>10463</v>
      </c>
      <c r="AV821" s="3" t="s">
        <v>10464</v>
      </c>
      <c r="AW821" s="3" t="s">
        <v>10465</v>
      </c>
      <c r="AX821" s="3" t="s">
        <v>10465</v>
      </c>
      <c r="AY821" s="3" t="s">
        <v>10466</v>
      </c>
      <c r="AZ821" s="3" t="s">
        <v>75</v>
      </c>
      <c r="BB821" s="3" t="s">
        <v>10467</v>
      </c>
      <c r="BC821" s="3" t="s">
        <v>10468</v>
      </c>
      <c r="BD821" s="3" t="s">
        <v>10469</v>
      </c>
    </row>
    <row r="822" spans="1:56" ht="39" customHeight="1" x14ac:dyDescent="0.25">
      <c r="A822" s="7" t="s">
        <v>58</v>
      </c>
      <c r="B822" s="2" t="s">
        <v>10470</v>
      </c>
      <c r="C822" s="2" t="s">
        <v>10471</v>
      </c>
      <c r="D822" s="2" t="s">
        <v>10472</v>
      </c>
      <c r="F822" s="3" t="s">
        <v>58</v>
      </c>
      <c r="G822" s="3" t="s">
        <v>59</v>
      </c>
      <c r="H822" s="3" t="s">
        <v>58</v>
      </c>
      <c r="I822" s="3" t="s">
        <v>58</v>
      </c>
      <c r="J822" s="3" t="s">
        <v>60</v>
      </c>
      <c r="K822" s="2" t="s">
        <v>10473</v>
      </c>
      <c r="L822" s="2" t="s">
        <v>10474</v>
      </c>
      <c r="M822" s="3" t="s">
        <v>544</v>
      </c>
      <c r="O822" s="3" t="s">
        <v>65</v>
      </c>
      <c r="P822" s="3" t="s">
        <v>304</v>
      </c>
      <c r="R822" s="3" t="s">
        <v>68</v>
      </c>
      <c r="S822" s="4">
        <v>4</v>
      </c>
      <c r="T822" s="4">
        <v>4</v>
      </c>
      <c r="U822" s="5" t="s">
        <v>10475</v>
      </c>
      <c r="V822" s="5" t="s">
        <v>10475</v>
      </c>
      <c r="W822" s="5" t="s">
        <v>10476</v>
      </c>
      <c r="X822" s="5" t="s">
        <v>10476</v>
      </c>
      <c r="Y822" s="4">
        <v>131</v>
      </c>
      <c r="Z822" s="4">
        <v>113</v>
      </c>
      <c r="AA822" s="4">
        <v>152</v>
      </c>
      <c r="AB822" s="4">
        <v>2</v>
      </c>
      <c r="AC822" s="4">
        <v>2</v>
      </c>
      <c r="AD822" s="4">
        <v>5</v>
      </c>
      <c r="AE822" s="4">
        <v>6</v>
      </c>
      <c r="AF822" s="4">
        <v>0</v>
      </c>
      <c r="AG822" s="4">
        <v>0</v>
      </c>
      <c r="AH822" s="4">
        <v>1</v>
      </c>
      <c r="AI822" s="4">
        <v>2</v>
      </c>
      <c r="AJ822" s="4">
        <v>3</v>
      </c>
      <c r="AK822" s="4">
        <v>4</v>
      </c>
      <c r="AL822" s="4">
        <v>1</v>
      </c>
      <c r="AM822" s="4">
        <v>1</v>
      </c>
      <c r="AN822" s="4">
        <v>0</v>
      </c>
      <c r="AO822" s="4">
        <v>0</v>
      </c>
      <c r="AP822" s="3" t="s">
        <v>58</v>
      </c>
      <c r="AQ822" s="3" t="s">
        <v>58</v>
      </c>
      <c r="AS822" s="6" t="str">
        <f>HYPERLINK("https://creighton-primo.hosted.exlibrisgroup.com/primo-explore/search?tab=default_tab&amp;search_scope=EVERYTHING&amp;vid=01CRU&amp;lang=en_US&amp;offset=0&amp;query=any,contains,991002974749702656","Catalog Record")</f>
        <v>Catalog Record</v>
      </c>
      <c r="AT822" s="6" t="str">
        <f>HYPERLINK("http://www.worldcat.org/oclc/39887082","WorldCat Record")</f>
        <v>WorldCat Record</v>
      </c>
      <c r="AU822" s="3" t="s">
        <v>10477</v>
      </c>
      <c r="AV822" s="3" t="s">
        <v>10478</v>
      </c>
      <c r="AW822" s="3" t="s">
        <v>10479</v>
      </c>
      <c r="AX822" s="3" t="s">
        <v>10479</v>
      </c>
      <c r="AY822" s="3" t="s">
        <v>10480</v>
      </c>
      <c r="AZ822" s="3" t="s">
        <v>75</v>
      </c>
      <c r="BB822" s="3" t="s">
        <v>10481</v>
      </c>
      <c r="BC822" s="3" t="s">
        <v>10482</v>
      </c>
      <c r="BD822" s="3" t="s">
        <v>10483</v>
      </c>
    </row>
    <row r="823" spans="1:56" ht="39" customHeight="1" x14ac:dyDescent="0.25">
      <c r="A823" s="7" t="s">
        <v>58</v>
      </c>
      <c r="B823" s="2" t="s">
        <v>10484</v>
      </c>
      <c r="C823" s="2" t="s">
        <v>10485</v>
      </c>
      <c r="D823" s="2" t="s">
        <v>10486</v>
      </c>
      <c r="F823" s="3" t="s">
        <v>58</v>
      </c>
      <c r="G823" s="3" t="s">
        <v>59</v>
      </c>
      <c r="H823" s="3" t="s">
        <v>58</v>
      </c>
      <c r="I823" s="3" t="s">
        <v>58</v>
      </c>
      <c r="J823" s="3" t="s">
        <v>60</v>
      </c>
      <c r="K823" s="2" t="s">
        <v>4851</v>
      </c>
      <c r="L823" s="2" t="s">
        <v>10487</v>
      </c>
      <c r="M823" s="3" t="s">
        <v>289</v>
      </c>
      <c r="O823" s="3" t="s">
        <v>65</v>
      </c>
      <c r="P823" s="3" t="s">
        <v>230</v>
      </c>
      <c r="R823" s="3" t="s">
        <v>68</v>
      </c>
      <c r="S823" s="4">
        <v>0</v>
      </c>
      <c r="T823" s="4">
        <v>0</v>
      </c>
      <c r="U823" s="5" t="s">
        <v>10488</v>
      </c>
      <c r="V823" s="5" t="s">
        <v>10488</v>
      </c>
      <c r="W823" s="5" t="s">
        <v>10489</v>
      </c>
      <c r="X823" s="5" t="s">
        <v>10489</v>
      </c>
      <c r="Y823" s="4">
        <v>237</v>
      </c>
      <c r="Z823" s="4">
        <v>206</v>
      </c>
      <c r="AA823" s="4">
        <v>206</v>
      </c>
      <c r="AB823" s="4">
        <v>1</v>
      </c>
      <c r="AC823" s="4">
        <v>1</v>
      </c>
      <c r="AD823" s="4">
        <v>8</v>
      </c>
      <c r="AE823" s="4">
        <v>8</v>
      </c>
      <c r="AF823" s="4">
        <v>3</v>
      </c>
      <c r="AG823" s="4">
        <v>3</v>
      </c>
      <c r="AH823" s="4">
        <v>2</v>
      </c>
      <c r="AI823" s="4">
        <v>2</v>
      </c>
      <c r="AJ823" s="4">
        <v>3</v>
      </c>
      <c r="AK823" s="4">
        <v>3</v>
      </c>
      <c r="AL823" s="4">
        <v>0</v>
      </c>
      <c r="AM823" s="4">
        <v>0</v>
      </c>
      <c r="AN823" s="4">
        <v>0</v>
      </c>
      <c r="AO823" s="4">
        <v>0</v>
      </c>
      <c r="AP823" s="3" t="s">
        <v>58</v>
      </c>
      <c r="AQ823" s="3" t="s">
        <v>58</v>
      </c>
      <c r="AS823" s="6" t="str">
        <f>HYPERLINK("https://creighton-primo.hosted.exlibrisgroup.com/primo-explore/search?tab=default_tab&amp;search_scope=EVERYTHING&amp;vid=01CRU&amp;lang=en_US&amp;offset=0&amp;query=any,contains,991005155119702656","Catalog Record")</f>
        <v>Catalog Record</v>
      </c>
      <c r="AT823" s="6" t="str">
        <f>HYPERLINK("http://www.worldcat.org/oclc/7738454","WorldCat Record")</f>
        <v>WorldCat Record</v>
      </c>
      <c r="AU823" s="3" t="s">
        <v>10490</v>
      </c>
      <c r="AV823" s="3" t="s">
        <v>10491</v>
      </c>
      <c r="AW823" s="3" t="s">
        <v>10492</v>
      </c>
      <c r="AX823" s="3" t="s">
        <v>10492</v>
      </c>
      <c r="AY823" s="3" t="s">
        <v>10493</v>
      </c>
      <c r="AZ823" s="3" t="s">
        <v>75</v>
      </c>
      <c r="BB823" s="3" t="s">
        <v>10494</v>
      </c>
      <c r="BC823" s="3" t="s">
        <v>10495</v>
      </c>
      <c r="BD823" s="3" t="s">
        <v>10496</v>
      </c>
    </row>
    <row r="824" spans="1:56" ht="39" customHeight="1" x14ac:dyDescent="0.25">
      <c r="A824" s="7" t="s">
        <v>58</v>
      </c>
      <c r="B824" s="2" t="s">
        <v>10497</v>
      </c>
      <c r="C824" s="2" t="s">
        <v>10498</v>
      </c>
      <c r="D824" s="2" t="s">
        <v>10499</v>
      </c>
      <c r="F824" s="3" t="s">
        <v>58</v>
      </c>
      <c r="G824" s="3" t="s">
        <v>59</v>
      </c>
      <c r="H824" s="3" t="s">
        <v>58</v>
      </c>
      <c r="I824" s="3" t="s">
        <v>58</v>
      </c>
      <c r="J824" s="3" t="s">
        <v>60</v>
      </c>
      <c r="K824" s="2" t="s">
        <v>10500</v>
      </c>
      <c r="L824" s="2" t="s">
        <v>6637</v>
      </c>
      <c r="M824" s="3" t="s">
        <v>709</v>
      </c>
      <c r="O824" s="3" t="s">
        <v>65</v>
      </c>
      <c r="P824" s="3" t="s">
        <v>186</v>
      </c>
      <c r="R824" s="3" t="s">
        <v>68</v>
      </c>
      <c r="S824" s="4">
        <v>9</v>
      </c>
      <c r="T824" s="4">
        <v>9</v>
      </c>
      <c r="U824" s="5" t="s">
        <v>10501</v>
      </c>
      <c r="V824" s="5" t="s">
        <v>10501</v>
      </c>
      <c r="W824" s="5" t="s">
        <v>10502</v>
      </c>
      <c r="X824" s="5" t="s">
        <v>10502</v>
      </c>
      <c r="Y824" s="4">
        <v>125</v>
      </c>
      <c r="Z824" s="4">
        <v>107</v>
      </c>
      <c r="AA824" s="4">
        <v>107</v>
      </c>
      <c r="AB824" s="4">
        <v>3</v>
      </c>
      <c r="AC824" s="4">
        <v>3</v>
      </c>
      <c r="AD824" s="4">
        <v>13</v>
      </c>
      <c r="AE824" s="4">
        <v>13</v>
      </c>
      <c r="AF824" s="4">
        <v>2</v>
      </c>
      <c r="AG824" s="4">
        <v>2</v>
      </c>
      <c r="AH824" s="4">
        <v>1</v>
      </c>
      <c r="AI824" s="4">
        <v>1</v>
      </c>
      <c r="AJ824" s="4">
        <v>10</v>
      </c>
      <c r="AK824" s="4">
        <v>10</v>
      </c>
      <c r="AL824" s="4">
        <v>1</v>
      </c>
      <c r="AM824" s="4">
        <v>1</v>
      </c>
      <c r="AN824" s="4">
        <v>0</v>
      </c>
      <c r="AO824" s="4">
        <v>0</v>
      </c>
      <c r="AP824" s="3" t="s">
        <v>58</v>
      </c>
      <c r="AQ824" s="3" t="s">
        <v>58</v>
      </c>
      <c r="AS824" s="6" t="str">
        <f>HYPERLINK("https://creighton-primo.hosted.exlibrisgroup.com/primo-explore/search?tab=default_tab&amp;search_scope=EVERYTHING&amp;vid=01CRU&amp;lang=en_US&amp;offset=0&amp;query=any,contains,991001797739702656","Catalog Record")</f>
        <v>Catalog Record</v>
      </c>
      <c r="AT824" s="6" t="str">
        <f>HYPERLINK("http://www.worldcat.org/oclc/22624441","WorldCat Record")</f>
        <v>WorldCat Record</v>
      </c>
      <c r="AU824" s="3" t="s">
        <v>10503</v>
      </c>
      <c r="AV824" s="3" t="s">
        <v>10504</v>
      </c>
      <c r="AW824" s="3" t="s">
        <v>10505</v>
      </c>
      <c r="AX824" s="3" t="s">
        <v>10505</v>
      </c>
      <c r="AY824" s="3" t="s">
        <v>10506</v>
      </c>
      <c r="AZ824" s="3" t="s">
        <v>75</v>
      </c>
      <c r="BB824" s="3" t="s">
        <v>10507</v>
      </c>
      <c r="BC824" s="3" t="s">
        <v>10508</v>
      </c>
      <c r="BD824" s="3" t="s">
        <v>10509</v>
      </c>
    </row>
    <row r="825" spans="1:56" ht="39" customHeight="1" x14ac:dyDescent="0.25">
      <c r="A825" s="7" t="s">
        <v>58</v>
      </c>
      <c r="B825" s="2" t="s">
        <v>10510</v>
      </c>
      <c r="C825" s="2" t="s">
        <v>10511</v>
      </c>
      <c r="D825" s="2" t="s">
        <v>10512</v>
      </c>
      <c r="F825" s="3" t="s">
        <v>58</v>
      </c>
      <c r="G825" s="3" t="s">
        <v>59</v>
      </c>
      <c r="H825" s="3" t="s">
        <v>58</v>
      </c>
      <c r="I825" s="3" t="s">
        <v>58</v>
      </c>
      <c r="J825" s="3" t="s">
        <v>60</v>
      </c>
      <c r="K825" s="2" t="s">
        <v>10513</v>
      </c>
      <c r="L825" s="2" t="s">
        <v>10514</v>
      </c>
      <c r="M825" s="3" t="s">
        <v>655</v>
      </c>
      <c r="O825" s="3" t="s">
        <v>65</v>
      </c>
      <c r="P825" s="3" t="s">
        <v>84</v>
      </c>
      <c r="R825" s="3" t="s">
        <v>68</v>
      </c>
      <c r="S825" s="4">
        <v>2</v>
      </c>
      <c r="T825" s="4">
        <v>2</v>
      </c>
      <c r="U825" s="5" t="s">
        <v>6730</v>
      </c>
      <c r="V825" s="5" t="s">
        <v>6730</v>
      </c>
      <c r="W825" s="5" t="s">
        <v>2494</v>
      </c>
      <c r="X825" s="5" t="s">
        <v>2494</v>
      </c>
      <c r="Y825" s="4">
        <v>214</v>
      </c>
      <c r="Z825" s="4">
        <v>185</v>
      </c>
      <c r="AA825" s="4">
        <v>188</v>
      </c>
      <c r="AB825" s="4">
        <v>1</v>
      </c>
      <c r="AC825" s="4">
        <v>1</v>
      </c>
      <c r="AD825" s="4">
        <v>6</v>
      </c>
      <c r="AE825" s="4">
        <v>6</v>
      </c>
      <c r="AF825" s="4">
        <v>2</v>
      </c>
      <c r="AG825" s="4">
        <v>2</v>
      </c>
      <c r="AH825" s="4">
        <v>2</v>
      </c>
      <c r="AI825" s="4">
        <v>2</v>
      </c>
      <c r="AJ825" s="4">
        <v>2</v>
      </c>
      <c r="AK825" s="4">
        <v>2</v>
      </c>
      <c r="AL825" s="4">
        <v>0</v>
      </c>
      <c r="AM825" s="4">
        <v>0</v>
      </c>
      <c r="AN825" s="4">
        <v>0</v>
      </c>
      <c r="AO825" s="4">
        <v>0</v>
      </c>
      <c r="AP825" s="3" t="s">
        <v>58</v>
      </c>
      <c r="AQ825" s="3" t="s">
        <v>58</v>
      </c>
      <c r="AS825" s="6" t="str">
        <f>HYPERLINK("https://creighton-primo.hosted.exlibrisgroup.com/primo-explore/search?tab=default_tab&amp;search_scope=EVERYTHING&amp;vid=01CRU&amp;lang=en_US&amp;offset=0&amp;query=any,contains,991002916449702656","Catalog Record")</f>
        <v>Catalog Record</v>
      </c>
      <c r="AT825" s="6" t="str">
        <f>HYPERLINK("http://www.worldcat.org/oclc/524204","WorldCat Record")</f>
        <v>WorldCat Record</v>
      </c>
      <c r="AU825" s="3" t="s">
        <v>10515</v>
      </c>
      <c r="AV825" s="3" t="s">
        <v>10516</v>
      </c>
      <c r="AW825" s="3" t="s">
        <v>10517</v>
      </c>
      <c r="AX825" s="3" t="s">
        <v>10517</v>
      </c>
      <c r="AY825" s="3" t="s">
        <v>10518</v>
      </c>
      <c r="AZ825" s="3" t="s">
        <v>75</v>
      </c>
      <c r="BB825" s="3" t="s">
        <v>10519</v>
      </c>
      <c r="BC825" s="3" t="s">
        <v>10520</v>
      </c>
      <c r="BD825" s="3" t="s">
        <v>10521</v>
      </c>
    </row>
    <row r="826" spans="1:56" ht="39" customHeight="1" x14ac:dyDescent="0.25">
      <c r="A826" s="7" t="s">
        <v>58</v>
      </c>
      <c r="B826" s="2" t="s">
        <v>10522</v>
      </c>
      <c r="C826" s="2" t="s">
        <v>10523</v>
      </c>
      <c r="D826" s="2" t="s">
        <v>10524</v>
      </c>
      <c r="F826" s="3" t="s">
        <v>58</v>
      </c>
      <c r="G826" s="3" t="s">
        <v>59</v>
      </c>
      <c r="H826" s="3" t="s">
        <v>58</v>
      </c>
      <c r="I826" s="3" t="s">
        <v>58</v>
      </c>
      <c r="J826" s="3" t="s">
        <v>60</v>
      </c>
      <c r="K826" s="2" t="s">
        <v>8635</v>
      </c>
      <c r="L826" s="2" t="s">
        <v>10525</v>
      </c>
      <c r="M826" s="3" t="s">
        <v>1046</v>
      </c>
      <c r="O826" s="3" t="s">
        <v>65</v>
      </c>
      <c r="P826" s="3" t="s">
        <v>186</v>
      </c>
      <c r="R826" s="3" t="s">
        <v>68</v>
      </c>
      <c r="S826" s="4">
        <v>8</v>
      </c>
      <c r="T826" s="4">
        <v>8</v>
      </c>
      <c r="U826" s="5" t="s">
        <v>10526</v>
      </c>
      <c r="V826" s="5" t="s">
        <v>10526</v>
      </c>
      <c r="W826" s="5" t="s">
        <v>10042</v>
      </c>
      <c r="X826" s="5" t="s">
        <v>10042</v>
      </c>
      <c r="Y826" s="4">
        <v>411</v>
      </c>
      <c r="Z826" s="4">
        <v>351</v>
      </c>
      <c r="AA826" s="4">
        <v>362</v>
      </c>
      <c r="AB826" s="4">
        <v>3</v>
      </c>
      <c r="AC826" s="4">
        <v>3</v>
      </c>
      <c r="AD826" s="4">
        <v>33</v>
      </c>
      <c r="AE826" s="4">
        <v>33</v>
      </c>
      <c r="AF826" s="4">
        <v>13</v>
      </c>
      <c r="AG826" s="4">
        <v>13</v>
      </c>
      <c r="AH826" s="4">
        <v>7</v>
      </c>
      <c r="AI826" s="4">
        <v>7</v>
      </c>
      <c r="AJ826" s="4">
        <v>21</v>
      </c>
      <c r="AK826" s="4">
        <v>21</v>
      </c>
      <c r="AL826" s="4">
        <v>2</v>
      </c>
      <c r="AM826" s="4">
        <v>2</v>
      </c>
      <c r="AN826" s="4">
        <v>0</v>
      </c>
      <c r="AO826" s="4">
        <v>0</v>
      </c>
      <c r="AP826" s="3" t="s">
        <v>58</v>
      </c>
      <c r="AQ826" s="3" t="s">
        <v>132</v>
      </c>
      <c r="AR826" s="6" t="str">
        <f>HYPERLINK("http://catalog.hathitrust.org/Record/000443006","HathiTrust Record")</f>
        <v>HathiTrust Record</v>
      </c>
      <c r="AS826" s="6" t="str">
        <f>HYPERLINK("https://creighton-primo.hosted.exlibrisgroup.com/primo-explore/search?tab=default_tab&amp;search_scope=EVERYTHING&amp;vid=01CRU&amp;lang=en_US&amp;offset=0&amp;query=any,contains,991000904019702656","Catalog Record")</f>
        <v>Catalog Record</v>
      </c>
      <c r="AT826" s="6" t="str">
        <f>HYPERLINK("http://www.worldcat.org/oclc/14072106","WorldCat Record")</f>
        <v>WorldCat Record</v>
      </c>
      <c r="AU826" s="3" t="s">
        <v>10527</v>
      </c>
      <c r="AV826" s="3" t="s">
        <v>10528</v>
      </c>
      <c r="AW826" s="3" t="s">
        <v>10529</v>
      </c>
      <c r="AX826" s="3" t="s">
        <v>10529</v>
      </c>
      <c r="AY826" s="3" t="s">
        <v>10530</v>
      </c>
      <c r="AZ826" s="3" t="s">
        <v>75</v>
      </c>
      <c r="BB826" s="3" t="s">
        <v>10531</v>
      </c>
      <c r="BC826" s="3" t="s">
        <v>10532</v>
      </c>
      <c r="BD826" s="3" t="s">
        <v>10533</v>
      </c>
    </row>
    <row r="827" spans="1:56" ht="39" customHeight="1" x14ac:dyDescent="0.25">
      <c r="A827" s="7" t="s">
        <v>58</v>
      </c>
      <c r="B827" s="2" t="s">
        <v>10534</v>
      </c>
      <c r="C827" s="2" t="s">
        <v>10535</v>
      </c>
      <c r="D827" s="2" t="s">
        <v>10536</v>
      </c>
      <c r="F827" s="3" t="s">
        <v>58</v>
      </c>
      <c r="G827" s="3" t="s">
        <v>59</v>
      </c>
      <c r="H827" s="3" t="s">
        <v>58</v>
      </c>
      <c r="I827" s="3" t="s">
        <v>58</v>
      </c>
      <c r="J827" s="3" t="s">
        <v>60</v>
      </c>
      <c r="L827" s="2" t="s">
        <v>2331</v>
      </c>
      <c r="M827" s="3" t="s">
        <v>462</v>
      </c>
      <c r="O827" s="3" t="s">
        <v>65</v>
      </c>
      <c r="P827" s="3" t="s">
        <v>186</v>
      </c>
      <c r="R827" s="3" t="s">
        <v>68</v>
      </c>
      <c r="S827" s="4">
        <v>1</v>
      </c>
      <c r="T827" s="4">
        <v>1</v>
      </c>
      <c r="U827" s="5" t="s">
        <v>3060</v>
      </c>
      <c r="V827" s="5" t="s">
        <v>3060</v>
      </c>
      <c r="W827" s="5" t="s">
        <v>70</v>
      </c>
      <c r="X827" s="5" t="s">
        <v>70</v>
      </c>
      <c r="Y827" s="4">
        <v>196</v>
      </c>
      <c r="Z827" s="4">
        <v>163</v>
      </c>
      <c r="AA827" s="4">
        <v>163</v>
      </c>
      <c r="AB827" s="4">
        <v>1</v>
      </c>
      <c r="AC827" s="4">
        <v>1</v>
      </c>
      <c r="AD827" s="4">
        <v>18</v>
      </c>
      <c r="AE827" s="4">
        <v>18</v>
      </c>
      <c r="AF827" s="4">
        <v>6</v>
      </c>
      <c r="AG827" s="4">
        <v>6</v>
      </c>
      <c r="AH827" s="4">
        <v>3</v>
      </c>
      <c r="AI827" s="4">
        <v>3</v>
      </c>
      <c r="AJ827" s="4">
        <v>13</v>
      </c>
      <c r="AK827" s="4">
        <v>13</v>
      </c>
      <c r="AL827" s="4">
        <v>0</v>
      </c>
      <c r="AM827" s="4">
        <v>0</v>
      </c>
      <c r="AN827" s="4">
        <v>0</v>
      </c>
      <c r="AO827" s="4">
        <v>0</v>
      </c>
      <c r="AP827" s="3" t="s">
        <v>58</v>
      </c>
      <c r="AQ827" s="3" t="s">
        <v>58</v>
      </c>
      <c r="AS827" s="6" t="str">
        <f>HYPERLINK("https://creighton-primo.hosted.exlibrisgroup.com/primo-explore/search?tab=default_tab&amp;search_scope=EVERYTHING&amp;vid=01CRU&amp;lang=en_US&amp;offset=0&amp;query=any,contains,991000515429702656","Catalog Record")</f>
        <v>Catalog Record</v>
      </c>
      <c r="AT827" s="6" t="str">
        <f>HYPERLINK("http://www.worldcat.org/oclc/11287334","WorldCat Record")</f>
        <v>WorldCat Record</v>
      </c>
      <c r="AU827" s="3" t="s">
        <v>10537</v>
      </c>
      <c r="AV827" s="3" t="s">
        <v>10538</v>
      </c>
      <c r="AW827" s="3" t="s">
        <v>10539</v>
      </c>
      <c r="AX827" s="3" t="s">
        <v>10539</v>
      </c>
      <c r="AY827" s="3" t="s">
        <v>10540</v>
      </c>
      <c r="AZ827" s="3" t="s">
        <v>75</v>
      </c>
      <c r="BB827" s="3" t="s">
        <v>10541</v>
      </c>
      <c r="BC827" s="3" t="s">
        <v>10542</v>
      </c>
      <c r="BD827" s="3" t="s">
        <v>10543</v>
      </c>
    </row>
    <row r="828" spans="1:56" ht="39" customHeight="1" x14ac:dyDescent="0.25">
      <c r="A828" s="7" t="s">
        <v>58</v>
      </c>
      <c r="B828" s="2" t="s">
        <v>10544</v>
      </c>
      <c r="C828" s="2" t="s">
        <v>10545</v>
      </c>
      <c r="D828" s="2" t="s">
        <v>10546</v>
      </c>
      <c r="F828" s="3" t="s">
        <v>58</v>
      </c>
      <c r="G828" s="3" t="s">
        <v>59</v>
      </c>
      <c r="H828" s="3" t="s">
        <v>58</v>
      </c>
      <c r="I828" s="3" t="s">
        <v>58</v>
      </c>
      <c r="J828" s="3" t="s">
        <v>60</v>
      </c>
      <c r="L828" s="2" t="s">
        <v>10547</v>
      </c>
      <c r="M828" s="3" t="s">
        <v>1150</v>
      </c>
      <c r="O828" s="3" t="s">
        <v>65</v>
      </c>
      <c r="P828" s="3" t="s">
        <v>186</v>
      </c>
      <c r="Q828" s="2" t="s">
        <v>10548</v>
      </c>
      <c r="R828" s="3" t="s">
        <v>68</v>
      </c>
      <c r="S828" s="4">
        <v>1</v>
      </c>
      <c r="T828" s="4">
        <v>1</v>
      </c>
      <c r="U828" s="5" t="s">
        <v>10549</v>
      </c>
      <c r="V828" s="5" t="s">
        <v>10549</v>
      </c>
      <c r="W828" s="5" t="s">
        <v>10550</v>
      </c>
      <c r="X828" s="5" t="s">
        <v>10550</v>
      </c>
      <c r="Y828" s="4">
        <v>239</v>
      </c>
      <c r="Z828" s="4">
        <v>149</v>
      </c>
      <c r="AA828" s="4">
        <v>176</v>
      </c>
      <c r="AB828" s="4">
        <v>1</v>
      </c>
      <c r="AC828" s="4">
        <v>1</v>
      </c>
      <c r="AD828" s="4">
        <v>11</v>
      </c>
      <c r="AE828" s="4">
        <v>11</v>
      </c>
      <c r="AF828" s="4">
        <v>3</v>
      </c>
      <c r="AG828" s="4">
        <v>3</v>
      </c>
      <c r="AH828" s="4">
        <v>4</v>
      </c>
      <c r="AI828" s="4">
        <v>4</v>
      </c>
      <c r="AJ828" s="4">
        <v>7</v>
      </c>
      <c r="AK828" s="4">
        <v>7</v>
      </c>
      <c r="AL828" s="4">
        <v>0</v>
      </c>
      <c r="AM828" s="4">
        <v>0</v>
      </c>
      <c r="AN828" s="4">
        <v>0</v>
      </c>
      <c r="AO828" s="4">
        <v>0</v>
      </c>
      <c r="AP828" s="3" t="s">
        <v>58</v>
      </c>
      <c r="AQ828" s="3" t="s">
        <v>58</v>
      </c>
      <c r="AS828" s="6" t="str">
        <f>HYPERLINK("https://creighton-primo.hosted.exlibrisgroup.com/primo-explore/search?tab=default_tab&amp;search_scope=EVERYTHING&amp;vid=01CRU&amp;lang=en_US&amp;offset=0&amp;query=any,contains,991002490599702656","Catalog Record")</f>
        <v>Catalog Record</v>
      </c>
      <c r="AT828" s="6" t="str">
        <f>HYPERLINK("http://www.worldcat.org/oclc/32396794","WorldCat Record")</f>
        <v>WorldCat Record</v>
      </c>
      <c r="AU828" s="3" t="s">
        <v>10551</v>
      </c>
      <c r="AV828" s="3" t="s">
        <v>10552</v>
      </c>
      <c r="AW828" s="3" t="s">
        <v>10553</v>
      </c>
      <c r="AX828" s="3" t="s">
        <v>10553</v>
      </c>
      <c r="AY828" s="3" t="s">
        <v>10554</v>
      </c>
      <c r="AZ828" s="3" t="s">
        <v>75</v>
      </c>
      <c r="BB828" s="3" t="s">
        <v>10555</v>
      </c>
      <c r="BC828" s="3" t="s">
        <v>10556</v>
      </c>
      <c r="BD828" s="3" t="s">
        <v>10557</v>
      </c>
    </row>
    <row r="829" spans="1:56" ht="39" customHeight="1" x14ac:dyDescent="0.25">
      <c r="A829" s="7" t="s">
        <v>58</v>
      </c>
      <c r="B829" s="2" t="s">
        <v>10558</v>
      </c>
      <c r="C829" s="2" t="s">
        <v>10559</v>
      </c>
      <c r="D829" s="2" t="s">
        <v>10560</v>
      </c>
      <c r="F829" s="3" t="s">
        <v>58</v>
      </c>
      <c r="G829" s="3" t="s">
        <v>59</v>
      </c>
      <c r="H829" s="3" t="s">
        <v>58</v>
      </c>
      <c r="I829" s="3" t="s">
        <v>58</v>
      </c>
      <c r="J829" s="3" t="s">
        <v>60</v>
      </c>
      <c r="K829" s="2" t="s">
        <v>10561</v>
      </c>
      <c r="L829" s="2" t="s">
        <v>10562</v>
      </c>
      <c r="M829" s="3" t="s">
        <v>112</v>
      </c>
      <c r="O829" s="3" t="s">
        <v>65</v>
      </c>
      <c r="P829" s="3" t="s">
        <v>186</v>
      </c>
      <c r="Q829" s="2" t="s">
        <v>10563</v>
      </c>
      <c r="R829" s="3" t="s">
        <v>68</v>
      </c>
      <c r="S829" s="4">
        <v>7</v>
      </c>
      <c r="T829" s="4">
        <v>7</v>
      </c>
      <c r="U829" s="5" t="s">
        <v>10564</v>
      </c>
      <c r="V829" s="5" t="s">
        <v>10564</v>
      </c>
      <c r="W829" s="5" t="s">
        <v>10565</v>
      </c>
      <c r="X829" s="5" t="s">
        <v>10565</v>
      </c>
      <c r="Y829" s="4">
        <v>78</v>
      </c>
      <c r="Z829" s="4">
        <v>56</v>
      </c>
      <c r="AA829" s="4">
        <v>56</v>
      </c>
      <c r="AB829" s="4">
        <v>1</v>
      </c>
      <c r="AC829" s="4">
        <v>1</v>
      </c>
      <c r="AD829" s="4">
        <v>6</v>
      </c>
      <c r="AE829" s="4">
        <v>6</v>
      </c>
      <c r="AF829" s="4">
        <v>1</v>
      </c>
      <c r="AG829" s="4">
        <v>1</v>
      </c>
      <c r="AH829" s="4">
        <v>3</v>
      </c>
      <c r="AI829" s="4">
        <v>3</v>
      </c>
      <c r="AJ829" s="4">
        <v>4</v>
      </c>
      <c r="AK829" s="4">
        <v>4</v>
      </c>
      <c r="AL829" s="4">
        <v>0</v>
      </c>
      <c r="AM829" s="4">
        <v>0</v>
      </c>
      <c r="AN829" s="4">
        <v>0</v>
      </c>
      <c r="AO829" s="4">
        <v>0</v>
      </c>
      <c r="AP829" s="3" t="s">
        <v>58</v>
      </c>
      <c r="AQ829" s="3" t="s">
        <v>58</v>
      </c>
      <c r="AS829" s="6" t="str">
        <f>HYPERLINK("https://creighton-primo.hosted.exlibrisgroup.com/primo-explore/search?tab=default_tab&amp;search_scope=EVERYTHING&amp;vid=01CRU&amp;lang=en_US&amp;offset=0&amp;query=any,contains,991001924959702656","Catalog Record")</f>
        <v>Catalog Record</v>
      </c>
      <c r="AT829" s="6" t="str">
        <f>HYPERLINK("http://www.worldcat.org/oclc/24318344","WorldCat Record")</f>
        <v>WorldCat Record</v>
      </c>
      <c r="AU829" s="3" t="s">
        <v>10566</v>
      </c>
      <c r="AV829" s="3" t="s">
        <v>10567</v>
      </c>
      <c r="AW829" s="3" t="s">
        <v>10568</v>
      </c>
      <c r="AX829" s="3" t="s">
        <v>10568</v>
      </c>
      <c r="AY829" s="3" t="s">
        <v>10569</v>
      </c>
      <c r="AZ829" s="3" t="s">
        <v>75</v>
      </c>
      <c r="BB829" s="3" t="s">
        <v>10570</v>
      </c>
      <c r="BC829" s="3" t="s">
        <v>10571</v>
      </c>
      <c r="BD829" s="3" t="s">
        <v>10572</v>
      </c>
    </row>
    <row r="830" spans="1:56" ht="39" customHeight="1" x14ac:dyDescent="0.25">
      <c r="A830" s="7" t="s">
        <v>58</v>
      </c>
      <c r="B830" s="2" t="s">
        <v>10573</v>
      </c>
      <c r="C830" s="2" t="s">
        <v>10574</v>
      </c>
      <c r="D830" s="2" t="s">
        <v>10575</v>
      </c>
      <c r="F830" s="3" t="s">
        <v>58</v>
      </c>
      <c r="G830" s="3" t="s">
        <v>59</v>
      </c>
      <c r="H830" s="3" t="s">
        <v>58</v>
      </c>
      <c r="I830" s="3" t="s">
        <v>58</v>
      </c>
      <c r="J830" s="3" t="s">
        <v>60</v>
      </c>
      <c r="L830" s="2" t="s">
        <v>10576</v>
      </c>
      <c r="M830" s="3" t="s">
        <v>1289</v>
      </c>
      <c r="O830" s="3" t="s">
        <v>65</v>
      </c>
      <c r="P830" s="3" t="s">
        <v>186</v>
      </c>
      <c r="Q830" s="2" t="s">
        <v>10577</v>
      </c>
      <c r="R830" s="3" t="s">
        <v>68</v>
      </c>
      <c r="S830" s="4">
        <v>6</v>
      </c>
      <c r="T830" s="4">
        <v>6</v>
      </c>
      <c r="U830" s="5" t="s">
        <v>9585</v>
      </c>
      <c r="V830" s="5" t="s">
        <v>9585</v>
      </c>
      <c r="W830" s="5" t="s">
        <v>10578</v>
      </c>
      <c r="X830" s="5" t="s">
        <v>10578</v>
      </c>
      <c r="Y830" s="4">
        <v>257</v>
      </c>
      <c r="Z830" s="4">
        <v>185</v>
      </c>
      <c r="AA830" s="4">
        <v>185</v>
      </c>
      <c r="AB830" s="4">
        <v>1</v>
      </c>
      <c r="AC830" s="4">
        <v>1</v>
      </c>
      <c r="AD830" s="4">
        <v>14</v>
      </c>
      <c r="AE830" s="4">
        <v>14</v>
      </c>
      <c r="AF830" s="4">
        <v>5</v>
      </c>
      <c r="AG830" s="4">
        <v>5</v>
      </c>
      <c r="AH830" s="4">
        <v>5</v>
      </c>
      <c r="AI830" s="4">
        <v>5</v>
      </c>
      <c r="AJ830" s="4">
        <v>9</v>
      </c>
      <c r="AK830" s="4">
        <v>9</v>
      </c>
      <c r="AL830" s="4">
        <v>0</v>
      </c>
      <c r="AM830" s="4">
        <v>0</v>
      </c>
      <c r="AN830" s="4">
        <v>0</v>
      </c>
      <c r="AO830" s="4">
        <v>0</v>
      </c>
      <c r="AP830" s="3" t="s">
        <v>58</v>
      </c>
      <c r="AQ830" s="3" t="s">
        <v>58</v>
      </c>
      <c r="AS830" s="6" t="str">
        <f>HYPERLINK("https://creighton-primo.hosted.exlibrisgroup.com/primo-explore/search?tab=default_tab&amp;search_scope=EVERYTHING&amp;vid=01CRU&amp;lang=en_US&amp;offset=0&amp;query=any,contains,991004204189702656","Catalog Record")</f>
        <v>Catalog Record</v>
      </c>
      <c r="AT830" s="6" t="str">
        <f>HYPERLINK("http://www.worldcat.org/oclc/51842135","WorldCat Record")</f>
        <v>WorldCat Record</v>
      </c>
      <c r="AU830" s="3" t="s">
        <v>10579</v>
      </c>
      <c r="AV830" s="3" t="s">
        <v>10580</v>
      </c>
      <c r="AW830" s="3" t="s">
        <v>10581</v>
      </c>
      <c r="AX830" s="3" t="s">
        <v>10581</v>
      </c>
      <c r="AY830" s="3" t="s">
        <v>10582</v>
      </c>
      <c r="AZ830" s="3" t="s">
        <v>75</v>
      </c>
      <c r="BB830" s="3" t="s">
        <v>10583</v>
      </c>
      <c r="BC830" s="3" t="s">
        <v>10584</v>
      </c>
      <c r="BD830" s="3" t="s">
        <v>10585</v>
      </c>
    </row>
    <row r="831" spans="1:56" ht="39" customHeight="1" x14ac:dyDescent="0.25">
      <c r="A831" s="7" t="s">
        <v>58</v>
      </c>
      <c r="B831" s="2" t="s">
        <v>10586</v>
      </c>
      <c r="C831" s="2" t="s">
        <v>10587</v>
      </c>
      <c r="D831" s="2" t="s">
        <v>10588</v>
      </c>
      <c r="F831" s="3" t="s">
        <v>58</v>
      </c>
      <c r="G831" s="3" t="s">
        <v>59</v>
      </c>
      <c r="H831" s="3" t="s">
        <v>58</v>
      </c>
      <c r="I831" s="3" t="s">
        <v>58</v>
      </c>
      <c r="J831" s="3" t="s">
        <v>60</v>
      </c>
      <c r="L831" s="2" t="s">
        <v>10589</v>
      </c>
      <c r="M831" s="3" t="s">
        <v>361</v>
      </c>
      <c r="O831" s="3" t="s">
        <v>65</v>
      </c>
      <c r="P831" s="3" t="s">
        <v>158</v>
      </c>
      <c r="R831" s="3" t="s">
        <v>68</v>
      </c>
      <c r="S831" s="4">
        <v>10</v>
      </c>
      <c r="T831" s="4">
        <v>10</v>
      </c>
      <c r="U831" s="5" t="s">
        <v>10590</v>
      </c>
      <c r="V831" s="5" t="s">
        <v>10590</v>
      </c>
      <c r="W831" s="5" t="s">
        <v>10042</v>
      </c>
      <c r="X831" s="5" t="s">
        <v>10042</v>
      </c>
      <c r="Y831" s="4">
        <v>653</v>
      </c>
      <c r="Z831" s="4">
        <v>590</v>
      </c>
      <c r="AA831" s="4">
        <v>600</v>
      </c>
      <c r="AB831" s="4">
        <v>4</v>
      </c>
      <c r="AC831" s="4">
        <v>4</v>
      </c>
      <c r="AD831" s="4">
        <v>28</v>
      </c>
      <c r="AE831" s="4">
        <v>28</v>
      </c>
      <c r="AF831" s="4">
        <v>12</v>
      </c>
      <c r="AG831" s="4">
        <v>12</v>
      </c>
      <c r="AH831" s="4">
        <v>3</v>
      </c>
      <c r="AI831" s="4">
        <v>3</v>
      </c>
      <c r="AJ831" s="4">
        <v>18</v>
      </c>
      <c r="AK831" s="4">
        <v>18</v>
      </c>
      <c r="AL831" s="4">
        <v>2</v>
      </c>
      <c r="AM831" s="4">
        <v>2</v>
      </c>
      <c r="AN831" s="4">
        <v>0</v>
      </c>
      <c r="AO831" s="4">
        <v>0</v>
      </c>
      <c r="AP831" s="3" t="s">
        <v>58</v>
      </c>
      <c r="AQ831" s="3" t="s">
        <v>132</v>
      </c>
      <c r="AR831" s="6" t="str">
        <f>HYPERLINK("http://catalog.hathitrust.org/Record/000777421","HathiTrust Record")</f>
        <v>HathiTrust Record</v>
      </c>
      <c r="AS831" s="6" t="str">
        <f>HYPERLINK("https://creighton-primo.hosted.exlibrisgroup.com/primo-explore/search?tab=default_tab&amp;search_scope=EVERYTHING&amp;vid=01CRU&amp;lang=en_US&amp;offset=0&amp;query=any,contains,991000182649702656","Catalog Record")</f>
        <v>Catalog Record</v>
      </c>
      <c r="AT831" s="6" t="str">
        <f>HYPERLINK("http://www.worldcat.org/oclc/9392717","WorldCat Record")</f>
        <v>WorldCat Record</v>
      </c>
      <c r="AU831" s="3" t="s">
        <v>10591</v>
      </c>
      <c r="AV831" s="3" t="s">
        <v>10592</v>
      </c>
      <c r="AW831" s="3" t="s">
        <v>10593</v>
      </c>
      <c r="AX831" s="3" t="s">
        <v>10593</v>
      </c>
      <c r="AY831" s="3" t="s">
        <v>10594</v>
      </c>
      <c r="AZ831" s="3" t="s">
        <v>75</v>
      </c>
      <c r="BB831" s="3" t="s">
        <v>10595</v>
      </c>
      <c r="BC831" s="3" t="s">
        <v>10596</v>
      </c>
      <c r="BD831" s="3" t="s">
        <v>10597</v>
      </c>
    </row>
    <row r="832" spans="1:56" ht="39" customHeight="1" x14ac:dyDescent="0.25">
      <c r="A832" s="7" t="s">
        <v>58</v>
      </c>
      <c r="B832" s="2" t="s">
        <v>10598</v>
      </c>
      <c r="C832" s="2" t="s">
        <v>10599</v>
      </c>
      <c r="D832" s="2" t="s">
        <v>10600</v>
      </c>
      <c r="F832" s="3" t="s">
        <v>58</v>
      </c>
      <c r="G832" s="3" t="s">
        <v>59</v>
      </c>
      <c r="H832" s="3" t="s">
        <v>58</v>
      </c>
      <c r="I832" s="3" t="s">
        <v>58</v>
      </c>
      <c r="J832" s="3" t="s">
        <v>60</v>
      </c>
      <c r="K832" s="2" t="s">
        <v>10601</v>
      </c>
      <c r="L832" s="2" t="s">
        <v>10602</v>
      </c>
      <c r="M832" s="3" t="s">
        <v>759</v>
      </c>
      <c r="O832" s="3" t="s">
        <v>65</v>
      </c>
      <c r="P832" s="3" t="s">
        <v>1345</v>
      </c>
      <c r="R832" s="3" t="s">
        <v>68</v>
      </c>
      <c r="S832" s="4">
        <v>4</v>
      </c>
      <c r="T832" s="4">
        <v>4</v>
      </c>
      <c r="U832" s="5" t="s">
        <v>8315</v>
      </c>
      <c r="V832" s="5" t="s">
        <v>8315</v>
      </c>
      <c r="W832" s="5" t="s">
        <v>3947</v>
      </c>
      <c r="X832" s="5" t="s">
        <v>3947</v>
      </c>
      <c r="Y832" s="4">
        <v>117</v>
      </c>
      <c r="Z832" s="4">
        <v>99</v>
      </c>
      <c r="AA832" s="4">
        <v>100</v>
      </c>
      <c r="AB832" s="4">
        <v>2</v>
      </c>
      <c r="AC832" s="4">
        <v>2</v>
      </c>
      <c r="AD832" s="4">
        <v>12</v>
      </c>
      <c r="AE832" s="4">
        <v>12</v>
      </c>
      <c r="AF832" s="4">
        <v>1</v>
      </c>
      <c r="AG832" s="4">
        <v>1</v>
      </c>
      <c r="AH832" s="4">
        <v>4</v>
      </c>
      <c r="AI832" s="4">
        <v>4</v>
      </c>
      <c r="AJ832" s="4">
        <v>10</v>
      </c>
      <c r="AK832" s="4">
        <v>10</v>
      </c>
      <c r="AL832" s="4">
        <v>0</v>
      </c>
      <c r="AM832" s="4">
        <v>0</v>
      </c>
      <c r="AN832" s="4">
        <v>0</v>
      </c>
      <c r="AO832" s="4">
        <v>0</v>
      </c>
      <c r="AP832" s="3" t="s">
        <v>58</v>
      </c>
      <c r="AQ832" s="3" t="s">
        <v>132</v>
      </c>
      <c r="AR832" s="6" t="str">
        <f>HYPERLINK("http://catalog.hathitrust.org/Record/007038709","HathiTrust Record")</f>
        <v>HathiTrust Record</v>
      </c>
      <c r="AS832" s="6" t="str">
        <f>HYPERLINK("https://creighton-primo.hosted.exlibrisgroup.com/primo-explore/search?tab=default_tab&amp;search_scope=EVERYTHING&amp;vid=01CRU&amp;lang=en_US&amp;offset=0&amp;query=any,contains,991001426559702656","Catalog Record")</f>
        <v>Catalog Record</v>
      </c>
      <c r="AT832" s="6" t="str">
        <f>HYPERLINK("http://www.worldcat.org/oclc/19032449","WorldCat Record")</f>
        <v>WorldCat Record</v>
      </c>
      <c r="AU832" s="3" t="s">
        <v>10603</v>
      </c>
      <c r="AV832" s="3" t="s">
        <v>10604</v>
      </c>
      <c r="AW832" s="3" t="s">
        <v>10605</v>
      </c>
      <c r="AX832" s="3" t="s">
        <v>10605</v>
      </c>
      <c r="AY832" s="3" t="s">
        <v>10606</v>
      </c>
      <c r="AZ832" s="3" t="s">
        <v>75</v>
      </c>
      <c r="BB832" s="3" t="s">
        <v>10607</v>
      </c>
      <c r="BC832" s="3" t="s">
        <v>10608</v>
      </c>
      <c r="BD832" s="3" t="s">
        <v>10609</v>
      </c>
    </row>
    <row r="833" spans="1:56" ht="39" customHeight="1" x14ac:dyDescent="0.25">
      <c r="A833" s="7" t="s">
        <v>58</v>
      </c>
      <c r="B833" s="2" t="s">
        <v>10610</v>
      </c>
      <c r="C833" s="2" t="s">
        <v>10611</v>
      </c>
      <c r="D833" s="2" t="s">
        <v>10612</v>
      </c>
      <c r="F833" s="3" t="s">
        <v>58</v>
      </c>
      <c r="G833" s="3" t="s">
        <v>59</v>
      </c>
      <c r="H833" s="3" t="s">
        <v>58</v>
      </c>
      <c r="I833" s="3" t="s">
        <v>58</v>
      </c>
      <c r="J833" s="3" t="s">
        <v>60</v>
      </c>
      <c r="K833" s="2" t="s">
        <v>10613</v>
      </c>
      <c r="L833" s="2" t="s">
        <v>10614</v>
      </c>
      <c r="M833" s="3" t="s">
        <v>303</v>
      </c>
      <c r="O833" s="3" t="s">
        <v>65</v>
      </c>
      <c r="P833" s="3" t="s">
        <v>571</v>
      </c>
      <c r="R833" s="3" t="s">
        <v>68</v>
      </c>
      <c r="S833" s="4">
        <v>1</v>
      </c>
      <c r="T833" s="4">
        <v>1</v>
      </c>
      <c r="U833" s="5" t="s">
        <v>10615</v>
      </c>
      <c r="V833" s="5" t="s">
        <v>10615</v>
      </c>
      <c r="W833" s="5" t="s">
        <v>10042</v>
      </c>
      <c r="X833" s="5" t="s">
        <v>10042</v>
      </c>
      <c r="Y833" s="4">
        <v>1599</v>
      </c>
      <c r="Z833" s="4">
        <v>1535</v>
      </c>
      <c r="AA833" s="4">
        <v>1866</v>
      </c>
      <c r="AB833" s="4">
        <v>16</v>
      </c>
      <c r="AC833" s="4">
        <v>20</v>
      </c>
      <c r="AD833" s="4">
        <v>33</v>
      </c>
      <c r="AE833" s="4">
        <v>42</v>
      </c>
      <c r="AF833" s="4">
        <v>12</v>
      </c>
      <c r="AG833" s="4">
        <v>15</v>
      </c>
      <c r="AH833" s="4">
        <v>7</v>
      </c>
      <c r="AI833" s="4">
        <v>9</v>
      </c>
      <c r="AJ833" s="4">
        <v>14</v>
      </c>
      <c r="AK833" s="4">
        <v>19</v>
      </c>
      <c r="AL833" s="4">
        <v>6</v>
      </c>
      <c r="AM833" s="4">
        <v>8</v>
      </c>
      <c r="AN833" s="4">
        <v>1</v>
      </c>
      <c r="AO833" s="4">
        <v>1</v>
      </c>
      <c r="AP833" s="3" t="s">
        <v>58</v>
      </c>
      <c r="AQ833" s="3" t="s">
        <v>132</v>
      </c>
      <c r="AR833" s="6" t="str">
        <f>HYPERLINK("http://catalog.hathitrust.org/Record/000710454","HathiTrust Record")</f>
        <v>HathiTrust Record</v>
      </c>
      <c r="AS833" s="6" t="str">
        <f>HYPERLINK("https://creighton-primo.hosted.exlibrisgroup.com/primo-explore/search?tab=default_tab&amp;search_scope=EVERYTHING&amp;vid=01CRU&amp;lang=en_US&amp;offset=0&amp;query=any,contains,991003953429702656","Catalog Record")</f>
        <v>Catalog Record</v>
      </c>
      <c r="AT833" s="6" t="str">
        <f>HYPERLINK("http://www.worldcat.org/oclc/1959557","WorldCat Record")</f>
        <v>WorldCat Record</v>
      </c>
      <c r="AU833" s="3" t="s">
        <v>10616</v>
      </c>
      <c r="AV833" s="3" t="s">
        <v>10617</v>
      </c>
      <c r="AW833" s="3" t="s">
        <v>10618</v>
      </c>
      <c r="AX833" s="3" t="s">
        <v>10618</v>
      </c>
      <c r="AY833" s="3" t="s">
        <v>10619</v>
      </c>
      <c r="AZ833" s="3" t="s">
        <v>75</v>
      </c>
      <c r="BB833" s="3" t="s">
        <v>10620</v>
      </c>
      <c r="BC833" s="3" t="s">
        <v>10621</v>
      </c>
      <c r="BD833" s="3" t="s">
        <v>10622</v>
      </c>
    </row>
    <row r="834" spans="1:56" ht="39" customHeight="1" x14ac:dyDescent="0.25">
      <c r="A834" s="7" t="s">
        <v>58</v>
      </c>
      <c r="B834" s="2" t="s">
        <v>10623</v>
      </c>
      <c r="C834" s="2" t="s">
        <v>10624</v>
      </c>
      <c r="D834" s="2" t="s">
        <v>10625</v>
      </c>
      <c r="F834" s="3" t="s">
        <v>58</v>
      </c>
      <c r="G834" s="3" t="s">
        <v>59</v>
      </c>
      <c r="H834" s="3" t="s">
        <v>58</v>
      </c>
      <c r="I834" s="3" t="s">
        <v>58</v>
      </c>
      <c r="J834" s="3" t="s">
        <v>60</v>
      </c>
      <c r="K834" s="2" t="s">
        <v>10626</v>
      </c>
      <c r="L834" s="2" t="s">
        <v>5491</v>
      </c>
      <c r="M834" s="3" t="s">
        <v>128</v>
      </c>
      <c r="O834" s="3" t="s">
        <v>65</v>
      </c>
      <c r="P834" s="3" t="s">
        <v>186</v>
      </c>
      <c r="Q834" s="2" t="s">
        <v>1033</v>
      </c>
      <c r="R834" s="3" t="s">
        <v>68</v>
      </c>
      <c r="S834" s="4">
        <v>2</v>
      </c>
      <c r="T834" s="4">
        <v>2</v>
      </c>
      <c r="U834" s="5" t="s">
        <v>10627</v>
      </c>
      <c r="V834" s="5" t="s">
        <v>10627</v>
      </c>
      <c r="W834" s="5" t="s">
        <v>86</v>
      </c>
      <c r="X834" s="5" t="s">
        <v>86</v>
      </c>
      <c r="Y834" s="4">
        <v>400</v>
      </c>
      <c r="Z834" s="4">
        <v>359</v>
      </c>
      <c r="AA834" s="4">
        <v>413</v>
      </c>
      <c r="AB834" s="4">
        <v>3</v>
      </c>
      <c r="AC834" s="4">
        <v>3</v>
      </c>
      <c r="AD834" s="4">
        <v>20</v>
      </c>
      <c r="AE834" s="4">
        <v>23</v>
      </c>
      <c r="AF834" s="4">
        <v>4</v>
      </c>
      <c r="AG834" s="4">
        <v>6</v>
      </c>
      <c r="AH834" s="4">
        <v>7</v>
      </c>
      <c r="AI834" s="4">
        <v>7</v>
      </c>
      <c r="AJ834" s="4">
        <v>15</v>
      </c>
      <c r="AK834" s="4">
        <v>16</v>
      </c>
      <c r="AL834" s="4">
        <v>1</v>
      </c>
      <c r="AM834" s="4">
        <v>1</v>
      </c>
      <c r="AN834" s="4">
        <v>0</v>
      </c>
      <c r="AO834" s="4">
        <v>0</v>
      </c>
      <c r="AP834" s="3" t="s">
        <v>58</v>
      </c>
      <c r="AQ834" s="3" t="s">
        <v>132</v>
      </c>
      <c r="AR834" s="6" t="str">
        <f>HYPERLINK("http://catalog.hathitrust.org/Record/102002489","HathiTrust Record")</f>
        <v>HathiTrust Record</v>
      </c>
      <c r="AS834" s="6" t="str">
        <f>HYPERLINK("https://creighton-primo.hosted.exlibrisgroup.com/primo-explore/search?tab=default_tab&amp;search_scope=EVERYTHING&amp;vid=01CRU&amp;lang=en_US&amp;offset=0&amp;query=any,contains,991004419199702656","Catalog Record")</f>
        <v>Catalog Record</v>
      </c>
      <c r="AT834" s="6" t="str">
        <f>HYPERLINK("http://www.worldcat.org/oclc/3379758","WorldCat Record")</f>
        <v>WorldCat Record</v>
      </c>
      <c r="AU834" s="3" t="s">
        <v>10628</v>
      </c>
      <c r="AV834" s="3" t="s">
        <v>10629</v>
      </c>
      <c r="AW834" s="3" t="s">
        <v>10630</v>
      </c>
      <c r="AX834" s="3" t="s">
        <v>10630</v>
      </c>
      <c r="AY834" s="3" t="s">
        <v>10631</v>
      </c>
      <c r="AZ834" s="3" t="s">
        <v>75</v>
      </c>
      <c r="BB834" s="3" t="s">
        <v>10632</v>
      </c>
      <c r="BC834" s="3" t="s">
        <v>10633</v>
      </c>
      <c r="BD834" s="3" t="s">
        <v>10634</v>
      </c>
    </row>
    <row r="835" spans="1:56" ht="39" customHeight="1" x14ac:dyDescent="0.25">
      <c r="A835" s="7" t="s">
        <v>58</v>
      </c>
      <c r="B835" s="2" t="s">
        <v>10635</v>
      </c>
      <c r="C835" s="2" t="s">
        <v>10636</v>
      </c>
      <c r="D835" s="2" t="s">
        <v>10637</v>
      </c>
      <c r="F835" s="3" t="s">
        <v>58</v>
      </c>
      <c r="G835" s="3" t="s">
        <v>59</v>
      </c>
      <c r="H835" s="3" t="s">
        <v>58</v>
      </c>
      <c r="I835" s="3" t="s">
        <v>58</v>
      </c>
      <c r="J835" s="3" t="s">
        <v>60</v>
      </c>
      <c r="K835" s="2" t="s">
        <v>10638</v>
      </c>
      <c r="L835" s="2" t="s">
        <v>10639</v>
      </c>
      <c r="M835" s="3" t="s">
        <v>10640</v>
      </c>
      <c r="O835" s="3" t="s">
        <v>65</v>
      </c>
      <c r="P835" s="3" t="s">
        <v>66</v>
      </c>
      <c r="Q835" s="2" t="s">
        <v>10641</v>
      </c>
      <c r="R835" s="3" t="s">
        <v>68</v>
      </c>
      <c r="S835" s="4">
        <v>6</v>
      </c>
      <c r="T835" s="4">
        <v>6</v>
      </c>
      <c r="U835" s="5" t="s">
        <v>10642</v>
      </c>
      <c r="V835" s="5" t="s">
        <v>10642</v>
      </c>
      <c r="W835" s="5" t="s">
        <v>10643</v>
      </c>
      <c r="X835" s="5" t="s">
        <v>10643</v>
      </c>
      <c r="Y835" s="4">
        <v>52</v>
      </c>
      <c r="Z835" s="4">
        <v>41</v>
      </c>
      <c r="AA835" s="4">
        <v>41</v>
      </c>
      <c r="AB835" s="4">
        <v>1</v>
      </c>
      <c r="AC835" s="4">
        <v>1</v>
      </c>
      <c r="AD835" s="4">
        <v>10</v>
      </c>
      <c r="AE835" s="4">
        <v>10</v>
      </c>
      <c r="AF835" s="4">
        <v>3</v>
      </c>
      <c r="AG835" s="4">
        <v>3</v>
      </c>
      <c r="AH835" s="4">
        <v>3</v>
      </c>
      <c r="AI835" s="4">
        <v>3</v>
      </c>
      <c r="AJ835" s="4">
        <v>6</v>
      </c>
      <c r="AK835" s="4">
        <v>6</v>
      </c>
      <c r="AL835" s="4">
        <v>0</v>
      </c>
      <c r="AM835" s="4">
        <v>0</v>
      </c>
      <c r="AN835" s="4">
        <v>0</v>
      </c>
      <c r="AO835" s="4">
        <v>0</v>
      </c>
      <c r="AP835" s="3" t="s">
        <v>58</v>
      </c>
      <c r="AQ835" s="3" t="s">
        <v>58</v>
      </c>
      <c r="AS835" s="6" t="str">
        <f>HYPERLINK("https://creighton-primo.hosted.exlibrisgroup.com/primo-explore/search?tab=default_tab&amp;search_scope=EVERYTHING&amp;vid=01CRU&amp;lang=en_US&amp;offset=0&amp;query=any,contains,991004570799702656","Catalog Record")</f>
        <v>Catalog Record</v>
      </c>
      <c r="AT835" s="6" t="str">
        <f>HYPERLINK("http://www.worldcat.org/oclc/4027157","WorldCat Record")</f>
        <v>WorldCat Record</v>
      </c>
      <c r="AU835" s="3" t="s">
        <v>10644</v>
      </c>
      <c r="AV835" s="3" t="s">
        <v>10645</v>
      </c>
      <c r="AW835" s="3" t="s">
        <v>10646</v>
      </c>
      <c r="AX835" s="3" t="s">
        <v>10646</v>
      </c>
      <c r="AY835" s="3" t="s">
        <v>10647</v>
      </c>
      <c r="AZ835" s="3" t="s">
        <v>75</v>
      </c>
      <c r="BC835" s="3" t="s">
        <v>10648</v>
      </c>
      <c r="BD835" s="3" t="s">
        <v>10649</v>
      </c>
    </row>
    <row r="836" spans="1:56" ht="39" customHeight="1" x14ac:dyDescent="0.25">
      <c r="A836" s="7" t="s">
        <v>58</v>
      </c>
      <c r="B836" s="2" t="s">
        <v>10650</v>
      </c>
      <c r="C836" s="2" t="s">
        <v>10651</v>
      </c>
      <c r="D836" s="2" t="s">
        <v>10652</v>
      </c>
      <c r="F836" s="3" t="s">
        <v>132</v>
      </c>
      <c r="G836" s="3" t="s">
        <v>59</v>
      </c>
      <c r="H836" s="3" t="s">
        <v>132</v>
      </c>
      <c r="I836" s="3" t="s">
        <v>58</v>
      </c>
      <c r="J836" s="3" t="s">
        <v>60</v>
      </c>
      <c r="K836" s="2" t="s">
        <v>10653</v>
      </c>
      <c r="L836" s="2" t="s">
        <v>10654</v>
      </c>
      <c r="M836" s="3" t="s">
        <v>3356</v>
      </c>
      <c r="O836" s="3" t="s">
        <v>65</v>
      </c>
      <c r="P836" s="3" t="s">
        <v>954</v>
      </c>
      <c r="R836" s="3" t="s">
        <v>68</v>
      </c>
      <c r="S836" s="4">
        <v>4</v>
      </c>
      <c r="T836" s="4">
        <v>9</v>
      </c>
      <c r="U836" s="5" t="s">
        <v>10655</v>
      </c>
      <c r="V836" s="5" t="s">
        <v>10656</v>
      </c>
      <c r="W836" s="5" t="s">
        <v>70</v>
      </c>
      <c r="X836" s="5" t="s">
        <v>70</v>
      </c>
      <c r="Y836" s="4">
        <v>216</v>
      </c>
      <c r="Z836" s="4">
        <v>198</v>
      </c>
      <c r="AA836" s="4">
        <v>208</v>
      </c>
      <c r="AB836" s="4">
        <v>3</v>
      </c>
      <c r="AC836" s="4">
        <v>3</v>
      </c>
      <c r="AD836" s="4">
        <v>24</v>
      </c>
      <c r="AE836" s="4">
        <v>25</v>
      </c>
      <c r="AF836" s="4">
        <v>9</v>
      </c>
      <c r="AG836" s="4">
        <v>10</v>
      </c>
      <c r="AH836" s="4">
        <v>6</v>
      </c>
      <c r="AI836" s="4">
        <v>6</v>
      </c>
      <c r="AJ836" s="4">
        <v>17</v>
      </c>
      <c r="AK836" s="4">
        <v>17</v>
      </c>
      <c r="AL836" s="4">
        <v>0</v>
      </c>
      <c r="AM836" s="4">
        <v>0</v>
      </c>
      <c r="AN836" s="4">
        <v>0</v>
      </c>
      <c r="AO836" s="4">
        <v>0</v>
      </c>
      <c r="AP836" s="3" t="s">
        <v>58</v>
      </c>
      <c r="AQ836" s="3" t="s">
        <v>132</v>
      </c>
      <c r="AR836" s="6" t="str">
        <f>HYPERLINK("http://catalog.hathitrust.org/Record/001415001","HathiTrust Record")</f>
        <v>HathiTrust Record</v>
      </c>
      <c r="AS836" s="6" t="str">
        <f>HYPERLINK("https://creighton-primo.hosted.exlibrisgroup.com/primo-explore/search?tab=default_tab&amp;search_scope=EVERYTHING&amp;vid=01CRU&amp;lang=en_US&amp;offset=0&amp;query=any,contains,991002890159702656","Catalog Record")</f>
        <v>Catalog Record</v>
      </c>
      <c r="AT836" s="6" t="str">
        <f>HYPERLINK("http://www.worldcat.org/oclc/511178","WorldCat Record")</f>
        <v>WorldCat Record</v>
      </c>
      <c r="AU836" s="3" t="s">
        <v>10657</v>
      </c>
      <c r="AV836" s="3" t="s">
        <v>10658</v>
      </c>
      <c r="AW836" s="3" t="s">
        <v>10659</v>
      </c>
      <c r="AX836" s="3" t="s">
        <v>10659</v>
      </c>
      <c r="AY836" s="3" t="s">
        <v>10660</v>
      </c>
      <c r="AZ836" s="3" t="s">
        <v>75</v>
      </c>
      <c r="BC836" s="3" t="s">
        <v>10661</v>
      </c>
      <c r="BD836" s="3" t="s">
        <v>10662</v>
      </c>
    </row>
    <row r="837" spans="1:56" ht="39" customHeight="1" x14ac:dyDescent="0.25">
      <c r="A837" s="7" t="s">
        <v>58</v>
      </c>
      <c r="B837" s="2" t="s">
        <v>10650</v>
      </c>
      <c r="C837" s="2" t="s">
        <v>10651</v>
      </c>
      <c r="D837" s="2" t="s">
        <v>10652</v>
      </c>
      <c r="F837" s="3" t="s">
        <v>132</v>
      </c>
      <c r="G837" s="3" t="s">
        <v>59</v>
      </c>
      <c r="H837" s="3" t="s">
        <v>132</v>
      </c>
      <c r="I837" s="3" t="s">
        <v>58</v>
      </c>
      <c r="J837" s="3" t="s">
        <v>60</v>
      </c>
      <c r="K837" s="2" t="s">
        <v>10653</v>
      </c>
      <c r="L837" s="2" t="s">
        <v>10654</v>
      </c>
      <c r="M837" s="3" t="s">
        <v>3356</v>
      </c>
      <c r="O837" s="3" t="s">
        <v>65</v>
      </c>
      <c r="P837" s="3" t="s">
        <v>954</v>
      </c>
      <c r="R837" s="3" t="s">
        <v>68</v>
      </c>
      <c r="S837" s="4">
        <v>5</v>
      </c>
      <c r="T837" s="4">
        <v>9</v>
      </c>
      <c r="U837" s="5" t="s">
        <v>10656</v>
      </c>
      <c r="V837" s="5" t="s">
        <v>10656</v>
      </c>
      <c r="W837" s="5" t="s">
        <v>70</v>
      </c>
      <c r="X837" s="5" t="s">
        <v>70</v>
      </c>
      <c r="Y837" s="4">
        <v>216</v>
      </c>
      <c r="Z837" s="4">
        <v>198</v>
      </c>
      <c r="AA837" s="4">
        <v>208</v>
      </c>
      <c r="AB837" s="4">
        <v>3</v>
      </c>
      <c r="AC837" s="4">
        <v>3</v>
      </c>
      <c r="AD837" s="4">
        <v>24</v>
      </c>
      <c r="AE837" s="4">
        <v>25</v>
      </c>
      <c r="AF837" s="4">
        <v>9</v>
      </c>
      <c r="AG837" s="4">
        <v>10</v>
      </c>
      <c r="AH837" s="4">
        <v>6</v>
      </c>
      <c r="AI837" s="4">
        <v>6</v>
      </c>
      <c r="AJ837" s="4">
        <v>17</v>
      </c>
      <c r="AK837" s="4">
        <v>17</v>
      </c>
      <c r="AL837" s="4">
        <v>0</v>
      </c>
      <c r="AM837" s="4">
        <v>0</v>
      </c>
      <c r="AN837" s="4">
        <v>0</v>
      </c>
      <c r="AO837" s="4">
        <v>0</v>
      </c>
      <c r="AP837" s="3" t="s">
        <v>58</v>
      </c>
      <c r="AQ837" s="3" t="s">
        <v>132</v>
      </c>
      <c r="AR837" s="6" t="str">
        <f>HYPERLINK("http://catalog.hathitrust.org/Record/001415001","HathiTrust Record")</f>
        <v>HathiTrust Record</v>
      </c>
      <c r="AS837" s="6" t="str">
        <f>HYPERLINK("https://creighton-primo.hosted.exlibrisgroup.com/primo-explore/search?tab=default_tab&amp;search_scope=EVERYTHING&amp;vid=01CRU&amp;lang=en_US&amp;offset=0&amp;query=any,contains,991002890159702656","Catalog Record")</f>
        <v>Catalog Record</v>
      </c>
      <c r="AT837" s="6" t="str">
        <f>HYPERLINK("http://www.worldcat.org/oclc/511178","WorldCat Record")</f>
        <v>WorldCat Record</v>
      </c>
      <c r="AU837" s="3" t="s">
        <v>10657</v>
      </c>
      <c r="AV837" s="3" t="s">
        <v>10658</v>
      </c>
      <c r="AW837" s="3" t="s">
        <v>10659</v>
      </c>
      <c r="AX837" s="3" t="s">
        <v>10659</v>
      </c>
      <c r="AY837" s="3" t="s">
        <v>10660</v>
      </c>
      <c r="AZ837" s="3" t="s">
        <v>75</v>
      </c>
      <c r="BC837" s="3" t="s">
        <v>10663</v>
      </c>
      <c r="BD837" s="3" t="s">
        <v>10664</v>
      </c>
    </row>
    <row r="838" spans="1:56" ht="39" customHeight="1" x14ac:dyDescent="0.25">
      <c r="A838" s="7" t="s">
        <v>58</v>
      </c>
      <c r="B838" s="2" t="s">
        <v>10665</v>
      </c>
      <c r="C838" s="2" t="s">
        <v>10666</v>
      </c>
      <c r="D838" s="2" t="s">
        <v>10667</v>
      </c>
      <c r="F838" s="3" t="s">
        <v>58</v>
      </c>
      <c r="G838" s="3" t="s">
        <v>59</v>
      </c>
      <c r="H838" s="3" t="s">
        <v>58</v>
      </c>
      <c r="I838" s="3" t="s">
        <v>58</v>
      </c>
      <c r="J838" s="3" t="s">
        <v>60</v>
      </c>
      <c r="L838" s="2" t="s">
        <v>10668</v>
      </c>
      <c r="M838" s="3" t="s">
        <v>709</v>
      </c>
      <c r="O838" s="3" t="s">
        <v>65</v>
      </c>
      <c r="P838" s="3" t="s">
        <v>201</v>
      </c>
      <c r="Q838" s="2" t="s">
        <v>10669</v>
      </c>
      <c r="R838" s="3" t="s">
        <v>68</v>
      </c>
      <c r="S838" s="4">
        <v>8</v>
      </c>
      <c r="T838" s="4">
        <v>8</v>
      </c>
      <c r="U838" s="5" t="s">
        <v>10670</v>
      </c>
      <c r="V838" s="5" t="s">
        <v>10670</v>
      </c>
      <c r="W838" s="5" t="s">
        <v>5453</v>
      </c>
      <c r="X838" s="5" t="s">
        <v>5453</v>
      </c>
      <c r="Y838" s="4">
        <v>435</v>
      </c>
      <c r="Z838" s="4">
        <v>333</v>
      </c>
      <c r="AA838" s="4">
        <v>336</v>
      </c>
      <c r="AB838" s="4">
        <v>2</v>
      </c>
      <c r="AC838" s="4">
        <v>2</v>
      </c>
      <c r="AD838" s="4">
        <v>26</v>
      </c>
      <c r="AE838" s="4">
        <v>26</v>
      </c>
      <c r="AF838" s="4">
        <v>11</v>
      </c>
      <c r="AG838" s="4">
        <v>11</v>
      </c>
      <c r="AH838" s="4">
        <v>4</v>
      </c>
      <c r="AI838" s="4">
        <v>4</v>
      </c>
      <c r="AJ838" s="4">
        <v>15</v>
      </c>
      <c r="AK838" s="4">
        <v>15</v>
      </c>
      <c r="AL838" s="4">
        <v>1</v>
      </c>
      <c r="AM838" s="4">
        <v>1</v>
      </c>
      <c r="AN838" s="4">
        <v>0</v>
      </c>
      <c r="AO838" s="4">
        <v>0</v>
      </c>
      <c r="AP838" s="3" t="s">
        <v>58</v>
      </c>
      <c r="AQ838" s="3" t="s">
        <v>58</v>
      </c>
      <c r="AS838" s="6" t="str">
        <f>HYPERLINK("https://creighton-primo.hosted.exlibrisgroup.com/primo-explore/search?tab=default_tab&amp;search_scope=EVERYTHING&amp;vid=01CRU&amp;lang=en_US&amp;offset=0&amp;query=any,contains,991001758209702656","Catalog Record")</f>
        <v>Catalog Record</v>
      </c>
      <c r="AT838" s="6" t="str">
        <f>HYPERLINK("http://www.worldcat.org/oclc/22240152","WorldCat Record")</f>
        <v>WorldCat Record</v>
      </c>
      <c r="AU838" s="3" t="s">
        <v>10671</v>
      </c>
      <c r="AV838" s="3" t="s">
        <v>10672</v>
      </c>
      <c r="AW838" s="3" t="s">
        <v>10673</v>
      </c>
      <c r="AX838" s="3" t="s">
        <v>10673</v>
      </c>
      <c r="AY838" s="3" t="s">
        <v>10674</v>
      </c>
      <c r="AZ838" s="3" t="s">
        <v>75</v>
      </c>
      <c r="BB838" s="3" t="s">
        <v>10675</v>
      </c>
      <c r="BC838" s="3" t="s">
        <v>10676</v>
      </c>
      <c r="BD838" s="3" t="s">
        <v>10677</v>
      </c>
    </row>
    <row r="839" spans="1:56" ht="39" customHeight="1" x14ac:dyDescent="0.25">
      <c r="A839" s="7" t="s">
        <v>58</v>
      </c>
      <c r="B839" s="2" t="s">
        <v>10678</v>
      </c>
      <c r="C839" s="2" t="s">
        <v>10679</v>
      </c>
      <c r="D839" s="2" t="s">
        <v>10680</v>
      </c>
      <c r="F839" s="3" t="s">
        <v>58</v>
      </c>
      <c r="G839" s="3" t="s">
        <v>59</v>
      </c>
      <c r="H839" s="3" t="s">
        <v>58</v>
      </c>
      <c r="I839" s="3" t="s">
        <v>58</v>
      </c>
      <c r="J839" s="3" t="s">
        <v>60</v>
      </c>
      <c r="K839" s="2" t="s">
        <v>10681</v>
      </c>
      <c r="L839" s="2" t="s">
        <v>10682</v>
      </c>
      <c r="M839" s="3" t="s">
        <v>10683</v>
      </c>
      <c r="O839" s="3" t="s">
        <v>65</v>
      </c>
      <c r="P839" s="3" t="s">
        <v>186</v>
      </c>
      <c r="R839" s="3" t="s">
        <v>68</v>
      </c>
      <c r="S839" s="4">
        <v>2</v>
      </c>
      <c r="T839" s="4">
        <v>2</v>
      </c>
      <c r="U839" s="5" t="s">
        <v>10684</v>
      </c>
      <c r="V839" s="5" t="s">
        <v>10684</v>
      </c>
      <c r="W839" s="5" t="s">
        <v>10643</v>
      </c>
      <c r="X839" s="5" t="s">
        <v>10643</v>
      </c>
      <c r="Y839" s="4">
        <v>56</v>
      </c>
      <c r="Z839" s="4">
        <v>54</v>
      </c>
      <c r="AA839" s="4">
        <v>100</v>
      </c>
      <c r="AB839" s="4">
        <v>2</v>
      </c>
      <c r="AC839" s="4">
        <v>2</v>
      </c>
      <c r="AD839" s="4">
        <v>6</v>
      </c>
      <c r="AE839" s="4">
        <v>12</v>
      </c>
      <c r="AF839" s="4">
        <v>0</v>
      </c>
      <c r="AG839" s="4">
        <v>0</v>
      </c>
      <c r="AH839" s="4">
        <v>2</v>
      </c>
      <c r="AI839" s="4">
        <v>3</v>
      </c>
      <c r="AJ839" s="4">
        <v>5</v>
      </c>
      <c r="AK839" s="4">
        <v>10</v>
      </c>
      <c r="AL839" s="4">
        <v>1</v>
      </c>
      <c r="AM839" s="4">
        <v>1</v>
      </c>
      <c r="AN839" s="4">
        <v>0</v>
      </c>
      <c r="AO839" s="4">
        <v>0</v>
      </c>
      <c r="AP839" s="3" t="s">
        <v>58</v>
      </c>
      <c r="AQ839" s="3" t="s">
        <v>58</v>
      </c>
      <c r="AS839" s="6" t="str">
        <f>HYPERLINK("https://creighton-primo.hosted.exlibrisgroup.com/primo-explore/search?tab=default_tab&amp;search_scope=EVERYTHING&amp;vid=01CRU&amp;lang=en_US&amp;offset=0&amp;query=any,contains,991004720089702656","Catalog Record")</f>
        <v>Catalog Record</v>
      </c>
      <c r="AT839" s="6" t="str">
        <f>HYPERLINK("http://www.worldcat.org/oclc/4800108","WorldCat Record")</f>
        <v>WorldCat Record</v>
      </c>
      <c r="AU839" s="3" t="s">
        <v>10685</v>
      </c>
      <c r="AV839" s="3" t="s">
        <v>10686</v>
      </c>
      <c r="AW839" s="3" t="s">
        <v>10687</v>
      </c>
      <c r="AX839" s="3" t="s">
        <v>10687</v>
      </c>
      <c r="AY839" s="3" t="s">
        <v>10688</v>
      </c>
      <c r="AZ839" s="3" t="s">
        <v>75</v>
      </c>
      <c r="BC839" s="3" t="s">
        <v>10689</v>
      </c>
      <c r="BD839" s="3" t="s">
        <v>10690</v>
      </c>
    </row>
    <row r="840" spans="1:56" ht="39" customHeight="1" x14ac:dyDescent="0.25">
      <c r="A840" s="7" t="s">
        <v>58</v>
      </c>
      <c r="B840" s="2" t="s">
        <v>10691</v>
      </c>
      <c r="C840" s="2" t="s">
        <v>10692</v>
      </c>
      <c r="D840" s="2" t="s">
        <v>10693</v>
      </c>
      <c r="F840" s="3" t="s">
        <v>58</v>
      </c>
      <c r="G840" s="3" t="s">
        <v>59</v>
      </c>
      <c r="H840" s="3" t="s">
        <v>58</v>
      </c>
      <c r="I840" s="3" t="s">
        <v>58</v>
      </c>
      <c r="J840" s="3" t="s">
        <v>60</v>
      </c>
      <c r="K840" s="2" t="s">
        <v>10694</v>
      </c>
      <c r="L840" s="2" t="s">
        <v>10695</v>
      </c>
      <c r="M840" s="3" t="s">
        <v>10683</v>
      </c>
      <c r="O840" s="3" t="s">
        <v>65</v>
      </c>
      <c r="P840" s="3" t="s">
        <v>954</v>
      </c>
      <c r="R840" s="3" t="s">
        <v>68</v>
      </c>
      <c r="S840" s="4">
        <v>1</v>
      </c>
      <c r="T840" s="4">
        <v>1</v>
      </c>
      <c r="U840" s="5" t="s">
        <v>10696</v>
      </c>
      <c r="V840" s="5" t="s">
        <v>10696</v>
      </c>
      <c r="W840" s="5" t="s">
        <v>10643</v>
      </c>
      <c r="X840" s="5" t="s">
        <v>10643</v>
      </c>
      <c r="Y840" s="4">
        <v>131</v>
      </c>
      <c r="Z840" s="4">
        <v>112</v>
      </c>
      <c r="AA840" s="4">
        <v>131</v>
      </c>
      <c r="AB840" s="4">
        <v>2</v>
      </c>
      <c r="AC840" s="4">
        <v>2</v>
      </c>
      <c r="AD840" s="4">
        <v>26</v>
      </c>
      <c r="AE840" s="4">
        <v>27</v>
      </c>
      <c r="AF840" s="4">
        <v>7</v>
      </c>
      <c r="AG840" s="4">
        <v>7</v>
      </c>
      <c r="AH840" s="4">
        <v>7</v>
      </c>
      <c r="AI840" s="4">
        <v>7</v>
      </c>
      <c r="AJ840" s="4">
        <v>20</v>
      </c>
      <c r="AK840" s="4">
        <v>21</v>
      </c>
      <c r="AL840" s="4">
        <v>0</v>
      </c>
      <c r="AM840" s="4">
        <v>0</v>
      </c>
      <c r="AN840" s="4">
        <v>0</v>
      </c>
      <c r="AO840" s="4">
        <v>0</v>
      </c>
      <c r="AP840" s="3" t="s">
        <v>58</v>
      </c>
      <c r="AQ840" s="3" t="s">
        <v>58</v>
      </c>
      <c r="AS840" s="6" t="str">
        <f>HYPERLINK("https://creighton-primo.hosted.exlibrisgroup.com/primo-explore/search?tab=default_tab&amp;search_scope=EVERYTHING&amp;vid=01CRU&amp;lang=en_US&amp;offset=0&amp;query=any,contains,991003520019702656","Catalog Record")</f>
        <v>Catalog Record</v>
      </c>
      <c r="AT840" s="6" t="str">
        <f>HYPERLINK("http://www.worldcat.org/oclc/1080031","WorldCat Record")</f>
        <v>WorldCat Record</v>
      </c>
      <c r="AU840" s="3" t="s">
        <v>10697</v>
      </c>
      <c r="AV840" s="3" t="s">
        <v>10698</v>
      </c>
      <c r="AW840" s="3" t="s">
        <v>10699</v>
      </c>
      <c r="AX840" s="3" t="s">
        <v>10699</v>
      </c>
      <c r="AY840" s="3" t="s">
        <v>10700</v>
      </c>
      <c r="AZ840" s="3" t="s">
        <v>75</v>
      </c>
      <c r="BC840" s="3" t="s">
        <v>10701</v>
      </c>
      <c r="BD840" s="3" t="s">
        <v>10702</v>
      </c>
    </row>
    <row r="841" spans="1:56" ht="39" customHeight="1" x14ac:dyDescent="0.25">
      <c r="A841" s="7" t="s">
        <v>58</v>
      </c>
      <c r="B841" s="2" t="s">
        <v>10703</v>
      </c>
      <c r="C841" s="2" t="s">
        <v>10704</v>
      </c>
      <c r="D841" s="2" t="s">
        <v>10705</v>
      </c>
      <c r="F841" s="3" t="s">
        <v>58</v>
      </c>
      <c r="G841" s="3" t="s">
        <v>59</v>
      </c>
      <c r="H841" s="3" t="s">
        <v>58</v>
      </c>
      <c r="I841" s="3" t="s">
        <v>58</v>
      </c>
      <c r="J841" s="3" t="s">
        <v>60</v>
      </c>
      <c r="K841" s="2" t="s">
        <v>10706</v>
      </c>
      <c r="L841" s="2" t="s">
        <v>10707</v>
      </c>
      <c r="M841" s="3" t="s">
        <v>2855</v>
      </c>
      <c r="O841" s="3" t="s">
        <v>65</v>
      </c>
      <c r="P841" s="3" t="s">
        <v>186</v>
      </c>
      <c r="R841" s="3" t="s">
        <v>68</v>
      </c>
      <c r="S841" s="4">
        <v>4</v>
      </c>
      <c r="T841" s="4">
        <v>4</v>
      </c>
      <c r="U841" s="5" t="s">
        <v>10708</v>
      </c>
      <c r="V841" s="5" t="s">
        <v>10708</v>
      </c>
      <c r="W841" s="5" t="s">
        <v>10643</v>
      </c>
      <c r="X841" s="5" t="s">
        <v>10643</v>
      </c>
      <c r="Y841" s="4">
        <v>28</v>
      </c>
      <c r="Z841" s="4">
        <v>28</v>
      </c>
      <c r="AA841" s="4">
        <v>61</v>
      </c>
      <c r="AB841" s="4">
        <v>1</v>
      </c>
      <c r="AC841" s="4">
        <v>1</v>
      </c>
      <c r="AD841" s="4">
        <v>9</v>
      </c>
      <c r="AE841" s="4">
        <v>15</v>
      </c>
      <c r="AF841" s="4">
        <v>2</v>
      </c>
      <c r="AG841" s="4">
        <v>3</v>
      </c>
      <c r="AH841" s="4">
        <v>2</v>
      </c>
      <c r="AI841" s="4">
        <v>6</v>
      </c>
      <c r="AJ841" s="4">
        <v>7</v>
      </c>
      <c r="AK841" s="4">
        <v>10</v>
      </c>
      <c r="AL841" s="4">
        <v>0</v>
      </c>
      <c r="AM841" s="4">
        <v>0</v>
      </c>
      <c r="AN841" s="4">
        <v>0</v>
      </c>
      <c r="AO841" s="4">
        <v>0</v>
      </c>
      <c r="AP841" s="3" t="s">
        <v>58</v>
      </c>
      <c r="AQ841" s="3" t="s">
        <v>58</v>
      </c>
      <c r="AS841" s="6" t="str">
        <f>HYPERLINK("https://creighton-primo.hosted.exlibrisgroup.com/primo-explore/search?tab=default_tab&amp;search_scope=EVERYTHING&amp;vid=01CRU&amp;lang=en_US&amp;offset=0&amp;query=any,contains,991004557579702656","Catalog Record")</f>
        <v>Catalog Record</v>
      </c>
      <c r="AT841" s="6" t="str">
        <f>HYPERLINK("http://www.worldcat.org/oclc/3974116","WorldCat Record")</f>
        <v>WorldCat Record</v>
      </c>
      <c r="AU841" s="3" t="s">
        <v>10709</v>
      </c>
      <c r="AV841" s="3" t="s">
        <v>10710</v>
      </c>
      <c r="AW841" s="3" t="s">
        <v>10711</v>
      </c>
      <c r="AX841" s="3" t="s">
        <v>10711</v>
      </c>
      <c r="AY841" s="3" t="s">
        <v>10712</v>
      </c>
      <c r="AZ841" s="3" t="s">
        <v>75</v>
      </c>
      <c r="BC841" s="3" t="s">
        <v>10713</v>
      </c>
      <c r="BD841" s="3" t="s">
        <v>10714</v>
      </c>
    </row>
    <row r="842" spans="1:56" ht="39" customHeight="1" x14ac:dyDescent="0.25">
      <c r="A842" s="7" t="s">
        <v>58</v>
      </c>
      <c r="B842" s="2" t="s">
        <v>10715</v>
      </c>
      <c r="C842" s="2" t="s">
        <v>10716</v>
      </c>
      <c r="D842" s="2" t="s">
        <v>10717</v>
      </c>
      <c r="F842" s="3" t="s">
        <v>58</v>
      </c>
      <c r="G842" s="3" t="s">
        <v>59</v>
      </c>
      <c r="H842" s="3" t="s">
        <v>58</v>
      </c>
      <c r="I842" s="3" t="s">
        <v>58</v>
      </c>
      <c r="J842" s="3" t="s">
        <v>60</v>
      </c>
      <c r="K842" s="2" t="s">
        <v>5009</v>
      </c>
      <c r="L842" s="2" t="s">
        <v>10718</v>
      </c>
      <c r="M842" s="3" t="s">
        <v>10719</v>
      </c>
      <c r="O842" s="3" t="s">
        <v>65</v>
      </c>
      <c r="P842" s="3" t="s">
        <v>954</v>
      </c>
      <c r="R842" s="3" t="s">
        <v>68</v>
      </c>
      <c r="S842" s="4">
        <v>8</v>
      </c>
      <c r="T842" s="4">
        <v>8</v>
      </c>
      <c r="U842" s="5" t="s">
        <v>10720</v>
      </c>
      <c r="V842" s="5" t="s">
        <v>10720</v>
      </c>
      <c r="W842" s="5" t="s">
        <v>10643</v>
      </c>
      <c r="X842" s="5" t="s">
        <v>10643</v>
      </c>
      <c r="Y842" s="4">
        <v>106</v>
      </c>
      <c r="Z842" s="4">
        <v>86</v>
      </c>
      <c r="AA842" s="4">
        <v>222</v>
      </c>
      <c r="AB842" s="4">
        <v>3</v>
      </c>
      <c r="AC842" s="4">
        <v>4</v>
      </c>
      <c r="AD842" s="4">
        <v>12</v>
      </c>
      <c r="AE842" s="4">
        <v>28</v>
      </c>
      <c r="AF842" s="4">
        <v>3</v>
      </c>
      <c r="AG842" s="4">
        <v>10</v>
      </c>
      <c r="AH842" s="4">
        <v>3</v>
      </c>
      <c r="AI842" s="4">
        <v>5</v>
      </c>
      <c r="AJ842" s="4">
        <v>10</v>
      </c>
      <c r="AK842" s="4">
        <v>22</v>
      </c>
      <c r="AL842" s="4">
        <v>1</v>
      </c>
      <c r="AM842" s="4">
        <v>1</v>
      </c>
      <c r="AN842" s="4">
        <v>0</v>
      </c>
      <c r="AO842" s="4">
        <v>0</v>
      </c>
      <c r="AP842" s="3" t="s">
        <v>58</v>
      </c>
      <c r="AQ842" s="3" t="s">
        <v>58</v>
      </c>
      <c r="AS842" s="6" t="str">
        <f>HYPERLINK("https://creighton-primo.hosted.exlibrisgroup.com/primo-explore/search?tab=default_tab&amp;search_scope=EVERYTHING&amp;vid=01CRU&amp;lang=en_US&amp;offset=0&amp;query=any,contains,991003422719702656","Catalog Record")</f>
        <v>Catalog Record</v>
      </c>
      <c r="AT842" s="6" t="str">
        <f>HYPERLINK("http://www.worldcat.org/oclc/963621","WorldCat Record")</f>
        <v>WorldCat Record</v>
      </c>
      <c r="AU842" s="3" t="s">
        <v>10721</v>
      </c>
      <c r="AV842" s="3" t="s">
        <v>10722</v>
      </c>
      <c r="AW842" s="3" t="s">
        <v>10723</v>
      </c>
      <c r="AX842" s="3" t="s">
        <v>10723</v>
      </c>
      <c r="AY842" s="3" t="s">
        <v>10724</v>
      </c>
      <c r="AZ842" s="3" t="s">
        <v>75</v>
      </c>
      <c r="BC842" s="3" t="s">
        <v>10725</v>
      </c>
      <c r="BD842" s="3" t="s">
        <v>10726</v>
      </c>
    </row>
    <row r="843" spans="1:56" ht="39" customHeight="1" x14ac:dyDescent="0.25">
      <c r="A843" s="7" t="s">
        <v>58</v>
      </c>
      <c r="B843" s="2" t="s">
        <v>10727</v>
      </c>
      <c r="C843" s="2" t="s">
        <v>10728</v>
      </c>
      <c r="D843" s="2" t="s">
        <v>10729</v>
      </c>
      <c r="F843" s="3" t="s">
        <v>58</v>
      </c>
      <c r="G843" s="3" t="s">
        <v>59</v>
      </c>
      <c r="H843" s="3" t="s">
        <v>58</v>
      </c>
      <c r="I843" s="3" t="s">
        <v>58</v>
      </c>
      <c r="J843" s="3" t="s">
        <v>60</v>
      </c>
      <c r="K843" s="2" t="s">
        <v>10730</v>
      </c>
      <c r="L843" s="2" t="s">
        <v>10731</v>
      </c>
      <c r="M843" s="3" t="s">
        <v>1936</v>
      </c>
      <c r="N843" s="2" t="s">
        <v>7006</v>
      </c>
      <c r="O843" s="3" t="s">
        <v>65</v>
      </c>
      <c r="P843" s="3" t="s">
        <v>954</v>
      </c>
      <c r="R843" s="3" t="s">
        <v>68</v>
      </c>
      <c r="S843" s="4">
        <v>9</v>
      </c>
      <c r="T843" s="4">
        <v>9</v>
      </c>
      <c r="U843" s="5" t="s">
        <v>10720</v>
      </c>
      <c r="V843" s="5" t="s">
        <v>10720</v>
      </c>
      <c r="W843" s="5" t="s">
        <v>10643</v>
      </c>
      <c r="X843" s="5" t="s">
        <v>10643</v>
      </c>
      <c r="Y843" s="4">
        <v>40</v>
      </c>
      <c r="Z843" s="4">
        <v>37</v>
      </c>
      <c r="AA843" s="4">
        <v>166</v>
      </c>
      <c r="AB843" s="4">
        <v>3</v>
      </c>
      <c r="AC843" s="4">
        <v>3</v>
      </c>
      <c r="AD843" s="4">
        <v>2</v>
      </c>
      <c r="AE843" s="4">
        <v>30</v>
      </c>
      <c r="AF843" s="4">
        <v>1</v>
      </c>
      <c r="AG843" s="4">
        <v>11</v>
      </c>
      <c r="AH843" s="4">
        <v>0</v>
      </c>
      <c r="AI843" s="4">
        <v>8</v>
      </c>
      <c r="AJ843" s="4">
        <v>2</v>
      </c>
      <c r="AK843" s="4">
        <v>22</v>
      </c>
      <c r="AL843" s="4">
        <v>0</v>
      </c>
      <c r="AM843" s="4">
        <v>0</v>
      </c>
      <c r="AN843" s="4">
        <v>0</v>
      </c>
      <c r="AO843" s="4">
        <v>0</v>
      </c>
      <c r="AP843" s="3" t="s">
        <v>58</v>
      </c>
      <c r="AQ843" s="3" t="s">
        <v>132</v>
      </c>
      <c r="AR843" s="6" t="str">
        <f>HYPERLINK("http://catalog.hathitrust.org/Record/102661864","HathiTrust Record")</f>
        <v>HathiTrust Record</v>
      </c>
      <c r="AS843" s="6" t="str">
        <f>HYPERLINK("https://creighton-primo.hosted.exlibrisgroup.com/primo-explore/search?tab=default_tab&amp;search_scope=EVERYTHING&amp;vid=01CRU&amp;lang=en_US&amp;offset=0&amp;query=any,contains,991003638689702656","Catalog Record")</f>
        <v>Catalog Record</v>
      </c>
      <c r="AT843" s="6" t="str">
        <f>HYPERLINK("http://www.worldcat.org/oclc/1233894","WorldCat Record")</f>
        <v>WorldCat Record</v>
      </c>
      <c r="AU843" s="3" t="s">
        <v>10732</v>
      </c>
      <c r="AV843" s="3" t="s">
        <v>10733</v>
      </c>
      <c r="AW843" s="3" t="s">
        <v>10734</v>
      </c>
      <c r="AX843" s="3" t="s">
        <v>10734</v>
      </c>
      <c r="AY843" s="3" t="s">
        <v>10735</v>
      </c>
      <c r="AZ843" s="3" t="s">
        <v>75</v>
      </c>
      <c r="BC843" s="3" t="s">
        <v>10736</v>
      </c>
      <c r="BD843" s="3" t="s">
        <v>10737</v>
      </c>
    </row>
    <row r="844" spans="1:56" ht="39" customHeight="1" x14ac:dyDescent="0.25">
      <c r="A844" s="7" t="s">
        <v>58</v>
      </c>
      <c r="B844" s="2" t="s">
        <v>10738</v>
      </c>
      <c r="C844" s="2" t="s">
        <v>10739</v>
      </c>
      <c r="D844" s="2" t="s">
        <v>10740</v>
      </c>
      <c r="E844" s="3" t="s">
        <v>1928</v>
      </c>
      <c r="F844" s="3" t="s">
        <v>132</v>
      </c>
      <c r="G844" s="3" t="s">
        <v>59</v>
      </c>
      <c r="H844" s="3" t="s">
        <v>58</v>
      </c>
      <c r="I844" s="3" t="s">
        <v>58</v>
      </c>
      <c r="J844" s="3" t="s">
        <v>60</v>
      </c>
      <c r="K844" s="2" t="s">
        <v>10741</v>
      </c>
      <c r="L844" s="2" t="s">
        <v>10742</v>
      </c>
      <c r="M844" s="3" t="s">
        <v>10743</v>
      </c>
      <c r="N844" s="2" t="s">
        <v>10744</v>
      </c>
      <c r="O844" s="3" t="s">
        <v>65</v>
      </c>
      <c r="P844" s="3" t="s">
        <v>66</v>
      </c>
      <c r="R844" s="3" t="s">
        <v>68</v>
      </c>
      <c r="S844" s="4">
        <v>1</v>
      </c>
      <c r="T844" s="4">
        <v>4</v>
      </c>
      <c r="U844" s="5" t="s">
        <v>10745</v>
      </c>
      <c r="V844" s="5" t="s">
        <v>10745</v>
      </c>
      <c r="W844" s="5" t="s">
        <v>10643</v>
      </c>
      <c r="X844" s="5" t="s">
        <v>10643</v>
      </c>
      <c r="Y844" s="4">
        <v>30</v>
      </c>
      <c r="Z844" s="4">
        <v>29</v>
      </c>
      <c r="AA844" s="4">
        <v>52</v>
      </c>
      <c r="AB844" s="4">
        <v>1</v>
      </c>
      <c r="AC844" s="4">
        <v>1</v>
      </c>
      <c r="AD844" s="4">
        <v>4</v>
      </c>
      <c r="AE844" s="4">
        <v>10</v>
      </c>
      <c r="AF844" s="4">
        <v>1</v>
      </c>
      <c r="AG844" s="4">
        <v>3</v>
      </c>
      <c r="AH844" s="4">
        <v>1</v>
      </c>
      <c r="AI844" s="4">
        <v>2</v>
      </c>
      <c r="AJ844" s="4">
        <v>4</v>
      </c>
      <c r="AK844" s="4">
        <v>9</v>
      </c>
      <c r="AL844" s="4">
        <v>0</v>
      </c>
      <c r="AM844" s="4">
        <v>0</v>
      </c>
      <c r="AN844" s="4">
        <v>0</v>
      </c>
      <c r="AO844" s="4">
        <v>0</v>
      </c>
      <c r="AP844" s="3" t="s">
        <v>58</v>
      </c>
      <c r="AQ844" s="3" t="s">
        <v>58</v>
      </c>
      <c r="AS844" s="6" t="str">
        <f>HYPERLINK("https://creighton-primo.hosted.exlibrisgroup.com/primo-explore/search?tab=default_tab&amp;search_scope=EVERYTHING&amp;vid=01CRU&amp;lang=en_US&amp;offset=0&amp;query=any,contains,991005230509702656","Catalog Record")</f>
        <v>Catalog Record</v>
      </c>
      <c r="AT844" s="6" t="str">
        <f>HYPERLINK("http://www.worldcat.org/oclc/8315668","WorldCat Record")</f>
        <v>WorldCat Record</v>
      </c>
      <c r="AU844" s="3" t="s">
        <v>10746</v>
      </c>
      <c r="AV844" s="3" t="s">
        <v>10747</v>
      </c>
      <c r="AW844" s="3" t="s">
        <v>10748</v>
      </c>
      <c r="AX844" s="3" t="s">
        <v>10748</v>
      </c>
      <c r="AY844" s="3" t="s">
        <v>10749</v>
      </c>
      <c r="AZ844" s="3" t="s">
        <v>75</v>
      </c>
      <c r="BC844" s="3" t="s">
        <v>10750</v>
      </c>
      <c r="BD844" s="3" t="s">
        <v>10751</v>
      </c>
    </row>
    <row r="845" spans="1:56" ht="39" customHeight="1" x14ac:dyDescent="0.25">
      <c r="A845" s="7" t="s">
        <v>58</v>
      </c>
      <c r="B845" s="2" t="s">
        <v>10738</v>
      </c>
      <c r="C845" s="2" t="s">
        <v>10739</v>
      </c>
      <c r="D845" s="2" t="s">
        <v>10740</v>
      </c>
      <c r="E845" s="3" t="s">
        <v>1913</v>
      </c>
      <c r="F845" s="3" t="s">
        <v>132</v>
      </c>
      <c r="G845" s="3" t="s">
        <v>59</v>
      </c>
      <c r="H845" s="3" t="s">
        <v>58</v>
      </c>
      <c r="I845" s="3" t="s">
        <v>58</v>
      </c>
      <c r="J845" s="3" t="s">
        <v>60</v>
      </c>
      <c r="K845" s="2" t="s">
        <v>10741</v>
      </c>
      <c r="L845" s="2" t="s">
        <v>10742</v>
      </c>
      <c r="M845" s="3" t="s">
        <v>10743</v>
      </c>
      <c r="N845" s="2" t="s">
        <v>10744</v>
      </c>
      <c r="O845" s="3" t="s">
        <v>65</v>
      </c>
      <c r="P845" s="3" t="s">
        <v>66</v>
      </c>
      <c r="R845" s="3" t="s">
        <v>68</v>
      </c>
      <c r="S845" s="4">
        <v>1</v>
      </c>
      <c r="T845" s="4">
        <v>4</v>
      </c>
      <c r="U845" s="5" t="s">
        <v>10745</v>
      </c>
      <c r="V845" s="5" t="s">
        <v>10745</v>
      </c>
      <c r="W845" s="5" t="s">
        <v>10643</v>
      </c>
      <c r="X845" s="5" t="s">
        <v>10643</v>
      </c>
      <c r="Y845" s="4">
        <v>30</v>
      </c>
      <c r="Z845" s="4">
        <v>29</v>
      </c>
      <c r="AA845" s="4">
        <v>52</v>
      </c>
      <c r="AB845" s="4">
        <v>1</v>
      </c>
      <c r="AC845" s="4">
        <v>1</v>
      </c>
      <c r="AD845" s="4">
        <v>4</v>
      </c>
      <c r="AE845" s="4">
        <v>10</v>
      </c>
      <c r="AF845" s="4">
        <v>1</v>
      </c>
      <c r="AG845" s="4">
        <v>3</v>
      </c>
      <c r="AH845" s="4">
        <v>1</v>
      </c>
      <c r="AI845" s="4">
        <v>2</v>
      </c>
      <c r="AJ845" s="4">
        <v>4</v>
      </c>
      <c r="AK845" s="4">
        <v>9</v>
      </c>
      <c r="AL845" s="4">
        <v>0</v>
      </c>
      <c r="AM845" s="4">
        <v>0</v>
      </c>
      <c r="AN845" s="4">
        <v>0</v>
      </c>
      <c r="AO845" s="4">
        <v>0</v>
      </c>
      <c r="AP845" s="3" t="s">
        <v>58</v>
      </c>
      <c r="AQ845" s="3" t="s">
        <v>58</v>
      </c>
      <c r="AS845" s="6" t="str">
        <f>HYPERLINK("https://creighton-primo.hosted.exlibrisgroup.com/primo-explore/search?tab=default_tab&amp;search_scope=EVERYTHING&amp;vid=01CRU&amp;lang=en_US&amp;offset=0&amp;query=any,contains,991005230509702656","Catalog Record")</f>
        <v>Catalog Record</v>
      </c>
      <c r="AT845" s="6" t="str">
        <f>HYPERLINK("http://www.worldcat.org/oclc/8315668","WorldCat Record")</f>
        <v>WorldCat Record</v>
      </c>
      <c r="AU845" s="3" t="s">
        <v>10746</v>
      </c>
      <c r="AV845" s="3" t="s">
        <v>10747</v>
      </c>
      <c r="AW845" s="3" t="s">
        <v>10748</v>
      </c>
      <c r="AX845" s="3" t="s">
        <v>10748</v>
      </c>
      <c r="AY845" s="3" t="s">
        <v>10749</v>
      </c>
      <c r="AZ845" s="3" t="s">
        <v>75</v>
      </c>
      <c r="BC845" s="3" t="s">
        <v>10752</v>
      </c>
      <c r="BD845" s="3" t="s">
        <v>10753</v>
      </c>
    </row>
    <row r="846" spans="1:56" ht="39" customHeight="1" x14ac:dyDescent="0.25">
      <c r="A846" s="7" t="s">
        <v>58</v>
      </c>
      <c r="B846" s="2" t="s">
        <v>10738</v>
      </c>
      <c r="C846" s="2" t="s">
        <v>10739</v>
      </c>
      <c r="D846" s="2" t="s">
        <v>10740</v>
      </c>
      <c r="E846" s="3" t="s">
        <v>1925</v>
      </c>
      <c r="F846" s="3" t="s">
        <v>132</v>
      </c>
      <c r="G846" s="3" t="s">
        <v>59</v>
      </c>
      <c r="H846" s="3" t="s">
        <v>58</v>
      </c>
      <c r="I846" s="3" t="s">
        <v>58</v>
      </c>
      <c r="J846" s="3" t="s">
        <v>60</v>
      </c>
      <c r="K846" s="2" t="s">
        <v>10741</v>
      </c>
      <c r="L846" s="2" t="s">
        <v>10742</v>
      </c>
      <c r="M846" s="3" t="s">
        <v>10743</v>
      </c>
      <c r="N846" s="2" t="s">
        <v>10744</v>
      </c>
      <c r="O846" s="3" t="s">
        <v>65</v>
      </c>
      <c r="P846" s="3" t="s">
        <v>66</v>
      </c>
      <c r="R846" s="3" t="s">
        <v>68</v>
      </c>
      <c r="S846" s="4">
        <v>1</v>
      </c>
      <c r="T846" s="4">
        <v>4</v>
      </c>
      <c r="U846" s="5" t="s">
        <v>10745</v>
      </c>
      <c r="V846" s="5" t="s">
        <v>10745</v>
      </c>
      <c r="W846" s="5" t="s">
        <v>10643</v>
      </c>
      <c r="X846" s="5" t="s">
        <v>10643</v>
      </c>
      <c r="Y846" s="4">
        <v>30</v>
      </c>
      <c r="Z846" s="4">
        <v>29</v>
      </c>
      <c r="AA846" s="4">
        <v>52</v>
      </c>
      <c r="AB846" s="4">
        <v>1</v>
      </c>
      <c r="AC846" s="4">
        <v>1</v>
      </c>
      <c r="AD846" s="4">
        <v>4</v>
      </c>
      <c r="AE846" s="4">
        <v>10</v>
      </c>
      <c r="AF846" s="4">
        <v>1</v>
      </c>
      <c r="AG846" s="4">
        <v>3</v>
      </c>
      <c r="AH846" s="4">
        <v>1</v>
      </c>
      <c r="AI846" s="4">
        <v>2</v>
      </c>
      <c r="AJ846" s="4">
        <v>4</v>
      </c>
      <c r="AK846" s="4">
        <v>9</v>
      </c>
      <c r="AL846" s="4">
        <v>0</v>
      </c>
      <c r="AM846" s="4">
        <v>0</v>
      </c>
      <c r="AN846" s="4">
        <v>0</v>
      </c>
      <c r="AO846" s="4">
        <v>0</v>
      </c>
      <c r="AP846" s="3" t="s">
        <v>58</v>
      </c>
      <c r="AQ846" s="3" t="s">
        <v>58</v>
      </c>
      <c r="AS846" s="6" t="str">
        <f>HYPERLINK("https://creighton-primo.hosted.exlibrisgroup.com/primo-explore/search?tab=default_tab&amp;search_scope=EVERYTHING&amp;vid=01CRU&amp;lang=en_US&amp;offset=0&amp;query=any,contains,991005230509702656","Catalog Record")</f>
        <v>Catalog Record</v>
      </c>
      <c r="AT846" s="6" t="str">
        <f>HYPERLINK("http://www.worldcat.org/oclc/8315668","WorldCat Record")</f>
        <v>WorldCat Record</v>
      </c>
      <c r="AU846" s="3" t="s">
        <v>10746</v>
      </c>
      <c r="AV846" s="3" t="s">
        <v>10747</v>
      </c>
      <c r="AW846" s="3" t="s">
        <v>10748</v>
      </c>
      <c r="AX846" s="3" t="s">
        <v>10748</v>
      </c>
      <c r="AY846" s="3" t="s">
        <v>10749</v>
      </c>
      <c r="AZ846" s="3" t="s">
        <v>75</v>
      </c>
      <c r="BC846" s="3" t="s">
        <v>10754</v>
      </c>
      <c r="BD846" s="3" t="s">
        <v>10755</v>
      </c>
    </row>
    <row r="847" spans="1:56" ht="39" customHeight="1" x14ac:dyDescent="0.25">
      <c r="A847" s="7" t="s">
        <v>58</v>
      </c>
      <c r="B847" s="2" t="s">
        <v>10738</v>
      </c>
      <c r="C847" s="2" t="s">
        <v>10739</v>
      </c>
      <c r="D847" s="2" t="s">
        <v>10740</v>
      </c>
      <c r="E847" s="3" t="s">
        <v>1902</v>
      </c>
      <c r="F847" s="3" t="s">
        <v>132</v>
      </c>
      <c r="G847" s="3" t="s">
        <v>59</v>
      </c>
      <c r="H847" s="3" t="s">
        <v>58</v>
      </c>
      <c r="I847" s="3" t="s">
        <v>58</v>
      </c>
      <c r="J847" s="3" t="s">
        <v>60</v>
      </c>
      <c r="K847" s="2" t="s">
        <v>10741</v>
      </c>
      <c r="L847" s="2" t="s">
        <v>10742</v>
      </c>
      <c r="M847" s="3" t="s">
        <v>10743</v>
      </c>
      <c r="N847" s="2" t="s">
        <v>10744</v>
      </c>
      <c r="O847" s="3" t="s">
        <v>65</v>
      </c>
      <c r="P847" s="3" t="s">
        <v>66</v>
      </c>
      <c r="R847" s="3" t="s">
        <v>68</v>
      </c>
      <c r="S847" s="4">
        <v>1</v>
      </c>
      <c r="T847" s="4">
        <v>4</v>
      </c>
      <c r="U847" s="5" t="s">
        <v>10745</v>
      </c>
      <c r="V847" s="5" t="s">
        <v>10745</v>
      </c>
      <c r="W847" s="5" t="s">
        <v>10643</v>
      </c>
      <c r="X847" s="5" t="s">
        <v>10643</v>
      </c>
      <c r="Y847" s="4">
        <v>30</v>
      </c>
      <c r="Z847" s="4">
        <v>29</v>
      </c>
      <c r="AA847" s="4">
        <v>52</v>
      </c>
      <c r="AB847" s="4">
        <v>1</v>
      </c>
      <c r="AC847" s="4">
        <v>1</v>
      </c>
      <c r="AD847" s="4">
        <v>4</v>
      </c>
      <c r="AE847" s="4">
        <v>10</v>
      </c>
      <c r="AF847" s="4">
        <v>1</v>
      </c>
      <c r="AG847" s="4">
        <v>3</v>
      </c>
      <c r="AH847" s="4">
        <v>1</v>
      </c>
      <c r="AI847" s="4">
        <v>2</v>
      </c>
      <c r="AJ847" s="4">
        <v>4</v>
      </c>
      <c r="AK847" s="4">
        <v>9</v>
      </c>
      <c r="AL847" s="4">
        <v>0</v>
      </c>
      <c r="AM847" s="4">
        <v>0</v>
      </c>
      <c r="AN847" s="4">
        <v>0</v>
      </c>
      <c r="AO847" s="4">
        <v>0</v>
      </c>
      <c r="AP847" s="3" t="s">
        <v>58</v>
      </c>
      <c r="AQ847" s="3" t="s">
        <v>58</v>
      </c>
      <c r="AS847" s="6" t="str">
        <f>HYPERLINK("https://creighton-primo.hosted.exlibrisgroup.com/primo-explore/search?tab=default_tab&amp;search_scope=EVERYTHING&amp;vid=01CRU&amp;lang=en_US&amp;offset=0&amp;query=any,contains,991005230509702656","Catalog Record")</f>
        <v>Catalog Record</v>
      </c>
      <c r="AT847" s="6" t="str">
        <f>HYPERLINK("http://www.worldcat.org/oclc/8315668","WorldCat Record")</f>
        <v>WorldCat Record</v>
      </c>
      <c r="AU847" s="3" t="s">
        <v>10746</v>
      </c>
      <c r="AV847" s="3" t="s">
        <v>10747</v>
      </c>
      <c r="AW847" s="3" t="s">
        <v>10748</v>
      </c>
      <c r="AX847" s="3" t="s">
        <v>10748</v>
      </c>
      <c r="AY847" s="3" t="s">
        <v>10749</v>
      </c>
      <c r="AZ847" s="3" t="s">
        <v>75</v>
      </c>
      <c r="BC847" s="3" t="s">
        <v>10756</v>
      </c>
      <c r="BD847" s="3" t="s">
        <v>10757</v>
      </c>
    </row>
    <row r="848" spans="1:56" ht="39" customHeight="1" x14ac:dyDescent="0.25">
      <c r="A848" s="7" t="s">
        <v>58</v>
      </c>
      <c r="B848" s="2" t="s">
        <v>10758</v>
      </c>
      <c r="C848" s="2" t="s">
        <v>10759</v>
      </c>
      <c r="D848" s="2" t="s">
        <v>10760</v>
      </c>
      <c r="F848" s="3" t="s">
        <v>58</v>
      </c>
      <c r="G848" s="3" t="s">
        <v>59</v>
      </c>
      <c r="H848" s="3" t="s">
        <v>58</v>
      </c>
      <c r="I848" s="3" t="s">
        <v>58</v>
      </c>
      <c r="J848" s="3" t="s">
        <v>60</v>
      </c>
      <c r="K848" s="2" t="s">
        <v>10761</v>
      </c>
      <c r="L848" s="2" t="s">
        <v>10762</v>
      </c>
      <c r="M848" s="3" t="s">
        <v>3556</v>
      </c>
      <c r="O848" s="3" t="s">
        <v>65</v>
      </c>
      <c r="P848" s="3" t="s">
        <v>954</v>
      </c>
      <c r="R848" s="3" t="s">
        <v>68</v>
      </c>
      <c r="S848" s="4">
        <v>1</v>
      </c>
      <c r="T848" s="4">
        <v>1</v>
      </c>
      <c r="U848" s="5" t="s">
        <v>10763</v>
      </c>
      <c r="V848" s="5" t="s">
        <v>10763</v>
      </c>
      <c r="W848" s="5" t="s">
        <v>10643</v>
      </c>
      <c r="X848" s="5" t="s">
        <v>10643</v>
      </c>
      <c r="Y848" s="4">
        <v>16</v>
      </c>
      <c r="Z848" s="4">
        <v>14</v>
      </c>
      <c r="AA848" s="4">
        <v>59</v>
      </c>
      <c r="AB848" s="4">
        <v>2</v>
      </c>
      <c r="AC848" s="4">
        <v>2</v>
      </c>
      <c r="AD848" s="4">
        <v>4</v>
      </c>
      <c r="AE848" s="4">
        <v>13</v>
      </c>
      <c r="AF848" s="4">
        <v>1</v>
      </c>
      <c r="AG848" s="4">
        <v>5</v>
      </c>
      <c r="AH848" s="4">
        <v>1</v>
      </c>
      <c r="AI848" s="4">
        <v>3</v>
      </c>
      <c r="AJ848" s="4">
        <v>4</v>
      </c>
      <c r="AK848" s="4">
        <v>11</v>
      </c>
      <c r="AL848" s="4">
        <v>0</v>
      </c>
      <c r="AM848" s="4">
        <v>0</v>
      </c>
      <c r="AN848" s="4">
        <v>0</v>
      </c>
      <c r="AO848" s="4">
        <v>0</v>
      </c>
      <c r="AP848" s="3" t="s">
        <v>58</v>
      </c>
      <c r="AQ848" s="3" t="s">
        <v>58</v>
      </c>
      <c r="AS848" s="6" t="str">
        <f>HYPERLINK("https://creighton-primo.hosted.exlibrisgroup.com/primo-explore/search?tab=default_tab&amp;search_scope=EVERYTHING&amp;vid=01CRU&amp;lang=en_US&amp;offset=0&amp;query=any,contains,991002573819702656","Catalog Record")</f>
        <v>Catalog Record</v>
      </c>
      <c r="AT848" s="6" t="str">
        <f>HYPERLINK("http://www.worldcat.org/oclc/374420","WorldCat Record")</f>
        <v>WorldCat Record</v>
      </c>
      <c r="AU848" s="3" t="s">
        <v>10764</v>
      </c>
      <c r="AV848" s="3" t="s">
        <v>10765</v>
      </c>
      <c r="AW848" s="3" t="s">
        <v>10766</v>
      </c>
      <c r="AX848" s="3" t="s">
        <v>10766</v>
      </c>
      <c r="AY848" s="3" t="s">
        <v>10767</v>
      </c>
      <c r="AZ848" s="3" t="s">
        <v>75</v>
      </c>
      <c r="BC848" s="3" t="s">
        <v>10768</v>
      </c>
      <c r="BD848" s="3" t="s">
        <v>10769</v>
      </c>
    </row>
    <row r="849" spans="1:56" ht="39" customHeight="1" x14ac:dyDescent="0.25">
      <c r="A849" s="7" t="s">
        <v>58</v>
      </c>
      <c r="B849" s="2" t="s">
        <v>10770</v>
      </c>
      <c r="C849" s="2" t="s">
        <v>10771</v>
      </c>
      <c r="D849" s="2" t="s">
        <v>10772</v>
      </c>
      <c r="F849" s="3" t="s">
        <v>58</v>
      </c>
      <c r="G849" s="3" t="s">
        <v>59</v>
      </c>
      <c r="H849" s="3" t="s">
        <v>58</v>
      </c>
      <c r="I849" s="3" t="s">
        <v>58</v>
      </c>
      <c r="J849" s="3" t="s">
        <v>60</v>
      </c>
      <c r="K849" s="2" t="s">
        <v>10773</v>
      </c>
      <c r="L849" s="2" t="s">
        <v>10774</v>
      </c>
      <c r="M849" s="3" t="s">
        <v>10775</v>
      </c>
      <c r="O849" s="3" t="s">
        <v>65</v>
      </c>
      <c r="P849" s="3" t="s">
        <v>66</v>
      </c>
      <c r="Q849" s="2" t="s">
        <v>10776</v>
      </c>
      <c r="R849" s="3" t="s">
        <v>68</v>
      </c>
      <c r="S849" s="4">
        <v>2</v>
      </c>
      <c r="T849" s="4">
        <v>2</v>
      </c>
      <c r="U849" s="5" t="s">
        <v>10777</v>
      </c>
      <c r="V849" s="5" t="s">
        <v>10777</v>
      </c>
      <c r="W849" s="5" t="s">
        <v>10643</v>
      </c>
      <c r="X849" s="5" t="s">
        <v>10643</v>
      </c>
      <c r="Y849" s="4">
        <v>32</v>
      </c>
      <c r="Z849" s="4">
        <v>25</v>
      </c>
      <c r="AA849" s="4">
        <v>35</v>
      </c>
      <c r="AB849" s="4">
        <v>2</v>
      </c>
      <c r="AC849" s="4">
        <v>2</v>
      </c>
      <c r="AD849" s="4">
        <v>11</v>
      </c>
      <c r="AE849" s="4">
        <v>11</v>
      </c>
      <c r="AF849" s="4">
        <v>2</v>
      </c>
      <c r="AG849" s="4">
        <v>2</v>
      </c>
      <c r="AH849" s="4">
        <v>2</v>
      </c>
      <c r="AI849" s="4">
        <v>2</v>
      </c>
      <c r="AJ849" s="4">
        <v>10</v>
      </c>
      <c r="AK849" s="4">
        <v>10</v>
      </c>
      <c r="AL849" s="4">
        <v>0</v>
      </c>
      <c r="AM849" s="4">
        <v>0</v>
      </c>
      <c r="AN849" s="4">
        <v>0</v>
      </c>
      <c r="AO849" s="4">
        <v>0</v>
      </c>
      <c r="AP849" s="3" t="s">
        <v>132</v>
      </c>
      <c r="AQ849" s="3" t="s">
        <v>58</v>
      </c>
      <c r="AR849" s="6" t="str">
        <f>HYPERLINK("http://catalog.hathitrust.org/Record/102160003","HathiTrust Record")</f>
        <v>HathiTrust Record</v>
      </c>
      <c r="AS849" s="6" t="str">
        <f>HYPERLINK("https://creighton-primo.hosted.exlibrisgroup.com/primo-explore/search?tab=default_tab&amp;search_scope=EVERYTHING&amp;vid=01CRU&amp;lang=en_US&amp;offset=0&amp;query=any,contains,991004823179702656","Catalog Record")</f>
        <v>Catalog Record</v>
      </c>
      <c r="AT849" s="6" t="str">
        <f>HYPERLINK("http://www.worldcat.org/oclc/5338109","WorldCat Record")</f>
        <v>WorldCat Record</v>
      </c>
      <c r="AU849" s="3" t="s">
        <v>10778</v>
      </c>
      <c r="AV849" s="3" t="s">
        <v>10779</v>
      </c>
      <c r="AW849" s="3" t="s">
        <v>10780</v>
      </c>
      <c r="AX849" s="3" t="s">
        <v>10780</v>
      </c>
      <c r="AY849" s="3" t="s">
        <v>10781</v>
      </c>
      <c r="AZ849" s="3" t="s">
        <v>75</v>
      </c>
      <c r="BC849" s="3" t="s">
        <v>10782</v>
      </c>
      <c r="BD849" s="3" t="s">
        <v>10783</v>
      </c>
    </row>
    <row r="850" spans="1:56" ht="39" customHeight="1" x14ac:dyDescent="0.25">
      <c r="A850" s="7" t="s">
        <v>58</v>
      </c>
      <c r="B850" s="2" t="s">
        <v>10784</v>
      </c>
      <c r="C850" s="2" t="s">
        <v>10785</v>
      </c>
      <c r="D850" s="2" t="s">
        <v>10786</v>
      </c>
      <c r="F850" s="3" t="s">
        <v>58</v>
      </c>
      <c r="G850" s="3" t="s">
        <v>59</v>
      </c>
      <c r="H850" s="3" t="s">
        <v>58</v>
      </c>
      <c r="I850" s="3" t="s">
        <v>58</v>
      </c>
      <c r="J850" s="3" t="s">
        <v>60</v>
      </c>
      <c r="K850" s="2" t="s">
        <v>10787</v>
      </c>
      <c r="L850" s="2" t="s">
        <v>10788</v>
      </c>
      <c r="M850" s="3" t="s">
        <v>374</v>
      </c>
      <c r="O850" s="3" t="s">
        <v>65</v>
      </c>
      <c r="P850" s="3" t="s">
        <v>186</v>
      </c>
      <c r="R850" s="3" t="s">
        <v>68</v>
      </c>
      <c r="S850" s="4">
        <v>4</v>
      </c>
      <c r="T850" s="4">
        <v>4</v>
      </c>
      <c r="U850" s="5" t="s">
        <v>10789</v>
      </c>
      <c r="V850" s="5" t="s">
        <v>10789</v>
      </c>
      <c r="W850" s="5" t="s">
        <v>10790</v>
      </c>
      <c r="X850" s="5" t="s">
        <v>10790</v>
      </c>
      <c r="Y850" s="4">
        <v>188</v>
      </c>
      <c r="Z850" s="4">
        <v>150</v>
      </c>
      <c r="AA850" s="4">
        <v>161</v>
      </c>
      <c r="AB850" s="4">
        <v>1</v>
      </c>
      <c r="AC850" s="4">
        <v>1</v>
      </c>
      <c r="AD850" s="4">
        <v>14</v>
      </c>
      <c r="AE850" s="4">
        <v>14</v>
      </c>
      <c r="AF850" s="4">
        <v>4</v>
      </c>
      <c r="AG850" s="4">
        <v>4</v>
      </c>
      <c r="AH850" s="4">
        <v>2</v>
      </c>
      <c r="AI850" s="4">
        <v>2</v>
      </c>
      <c r="AJ850" s="4">
        <v>12</v>
      </c>
      <c r="AK850" s="4">
        <v>12</v>
      </c>
      <c r="AL850" s="4">
        <v>0</v>
      </c>
      <c r="AM850" s="4">
        <v>0</v>
      </c>
      <c r="AN850" s="4">
        <v>0</v>
      </c>
      <c r="AO850" s="4">
        <v>0</v>
      </c>
      <c r="AP850" s="3" t="s">
        <v>58</v>
      </c>
      <c r="AQ850" s="3" t="s">
        <v>58</v>
      </c>
      <c r="AS850" s="6" t="str">
        <f>HYPERLINK("https://creighton-primo.hosted.exlibrisgroup.com/primo-explore/search?tab=default_tab&amp;search_scope=EVERYTHING&amp;vid=01CRU&amp;lang=en_US&amp;offset=0&amp;query=any,contains,991002506739702656","Catalog Record")</f>
        <v>Catalog Record</v>
      </c>
      <c r="AT850" s="6" t="str">
        <f>HYPERLINK("http://www.worldcat.org/oclc/32590380","WorldCat Record")</f>
        <v>WorldCat Record</v>
      </c>
      <c r="AU850" s="3" t="s">
        <v>10791</v>
      </c>
      <c r="AV850" s="3" t="s">
        <v>10792</v>
      </c>
      <c r="AW850" s="3" t="s">
        <v>10793</v>
      </c>
      <c r="AX850" s="3" t="s">
        <v>10793</v>
      </c>
      <c r="AY850" s="3" t="s">
        <v>10794</v>
      </c>
      <c r="AZ850" s="3" t="s">
        <v>75</v>
      </c>
      <c r="BB850" s="3" t="s">
        <v>10795</v>
      </c>
      <c r="BC850" s="3" t="s">
        <v>10796</v>
      </c>
      <c r="BD850" s="3" t="s">
        <v>10797</v>
      </c>
    </row>
    <row r="851" spans="1:56" ht="39" customHeight="1" x14ac:dyDescent="0.25">
      <c r="A851" s="7" t="s">
        <v>58</v>
      </c>
      <c r="B851" s="2" t="s">
        <v>10798</v>
      </c>
      <c r="C851" s="2" t="s">
        <v>10799</v>
      </c>
      <c r="D851" s="2" t="s">
        <v>10800</v>
      </c>
      <c r="F851" s="3" t="s">
        <v>58</v>
      </c>
      <c r="G851" s="3" t="s">
        <v>59</v>
      </c>
      <c r="H851" s="3" t="s">
        <v>58</v>
      </c>
      <c r="I851" s="3" t="s">
        <v>58</v>
      </c>
      <c r="J851" s="3" t="s">
        <v>60</v>
      </c>
      <c r="K851" s="2" t="s">
        <v>9820</v>
      </c>
      <c r="L851" s="2" t="s">
        <v>2930</v>
      </c>
      <c r="M851" s="3" t="s">
        <v>439</v>
      </c>
      <c r="O851" s="3" t="s">
        <v>65</v>
      </c>
      <c r="P851" s="3" t="s">
        <v>186</v>
      </c>
      <c r="R851" s="3" t="s">
        <v>68</v>
      </c>
      <c r="S851" s="4">
        <v>5</v>
      </c>
      <c r="T851" s="4">
        <v>5</v>
      </c>
      <c r="U851" s="5" t="s">
        <v>3047</v>
      </c>
      <c r="V851" s="5" t="s">
        <v>3047</v>
      </c>
      <c r="W851" s="5" t="s">
        <v>4257</v>
      </c>
      <c r="X851" s="5" t="s">
        <v>4257</v>
      </c>
      <c r="Y851" s="4">
        <v>354</v>
      </c>
      <c r="Z851" s="4">
        <v>298</v>
      </c>
      <c r="AA851" s="4">
        <v>299</v>
      </c>
      <c r="AB851" s="4">
        <v>2</v>
      </c>
      <c r="AC851" s="4">
        <v>2</v>
      </c>
      <c r="AD851" s="4">
        <v>18</v>
      </c>
      <c r="AE851" s="4">
        <v>18</v>
      </c>
      <c r="AF851" s="4">
        <v>7</v>
      </c>
      <c r="AG851" s="4">
        <v>7</v>
      </c>
      <c r="AH851" s="4">
        <v>3</v>
      </c>
      <c r="AI851" s="4">
        <v>3</v>
      </c>
      <c r="AJ851" s="4">
        <v>13</v>
      </c>
      <c r="AK851" s="4">
        <v>13</v>
      </c>
      <c r="AL851" s="4">
        <v>0</v>
      </c>
      <c r="AM851" s="4">
        <v>0</v>
      </c>
      <c r="AN851" s="4">
        <v>0</v>
      </c>
      <c r="AO851" s="4">
        <v>0</v>
      </c>
      <c r="AP851" s="3" t="s">
        <v>58</v>
      </c>
      <c r="AQ851" s="3" t="s">
        <v>58</v>
      </c>
      <c r="AS851" s="6" t="str">
        <f>HYPERLINK("https://creighton-primo.hosted.exlibrisgroup.com/primo-explore/search?tab=default_tab&amp;search_scope=EVERYTHING&amp;vid=01CRU&amp;lang=en_US&amp;offset=0&amp;query=any,contains,991004993519702656","Catalog Record")</f>
        <v>Catalog Record</v>
      </c>
      <c r="AT851" s="6" t="str">
        <f>HYPERLINK("http://www.worldcat.org/oclc/6492351","WorldCat Record")</f>
        <v>WorldCat Record</v>
      </c>
      <c r="AU851" s="3" t="s">
        <v>10801</v>
      </c>
      <c r="AV851" s="3" t="s">
        <v>10802</v>
      </c>
      <c r="AW851" s="3" t="s">
        <v>10803</v>
      </c>
      <c r="AX851" s="3" t="s">
        <v>10803</v>
      </c>
      <c r="AY851" s="3" t="s">
        <v>10804</v>
      </c>
      <c r="AZ851" s="3" t="s">
        <v>75</v>
      </c>
      <c r="BB851" s="3" t="s">
        <v>10805</v>
      </c>
      <c r="BC851" s="3" t="s">
        <v>10806</v>
      </c>
      <c r="BD851" s="3" t="s">
        <v>10807</v>
      </c>
    </row>
    <row r="852" spans="1:56" ht="39" customHeight="1" x14ac:dyDescent="0.25">
      <c r="A852" s="7" t="s">
        <v>58</v>
      </c>
      <c r="B852" s="2" t="s">
        <v>10808</v>
      </c>
      <c r="C852" s="2" t="s">
        <v>10809</v>
      </c>
      <c r="D852" s="2" t="s">
        <v>10810</v>
      </c>
      <c r="F852" s="3" t="s">
        <v>58</v>
      </c>
      <c r="G852" s="3" t="s">
        <v>59</v>
      </c>
      <c r="H852" s="3" t="s">
        <v>58</v>
      </c>
      <c r="I852" s="3" t="s">
        <v>58</v>
      </c>
      <c r="J852" s="3" t="s">
        <v>60</v>
      </c>
      <c r="K852" s="2" t="s">
        <v>7232</v>
      </c>
      <c r="L852" s="2" t="s">
        <v>8199</v>
      </c>
      <c r="M852" s="3" t="s">
        <v>157</v>
      </c>
      <c r="O852" s="3" t="s">
        <v>65</v>
      </c>
      <c r="P852" s="3" t="s">
        <v>186</v>
      </c>
      <c r="R852" s="3" t="s">
        <v>68</v>
      </c>
      <c r="S852" s="4">
        <v>4</v>
      </c>
      <c r="T852" s="4">
        <v>4</v>
      </c>
      <c r="U852" s="5" t="s">
        <v>10811</v>
      </c>
      <c r="V852" s="5" t="s">
        <v>10811</v>
      </c>
      <c r="W852" s="5" t="s">
        <v>10643</v>
      </c>
      <c r="X852" s="5" t="s">
        <v>10643</v>
      </c>
      <c r="Y852" s="4">
        <v>218</v>
      </c>
      <c r="Z852" s="4">
        <v>172</v>
      </c>
      <c r="AA852" s="4">
        <v>238</v>
      </c>
      <c r="AB852" s="4">
        <v>1</v>
      </c>
      <c r="AC852" s="4">
        <v>2</v>
      </c>
      <c r="AD852" s="4">
        <v>14</v>
      </c>
      <c r="AE852" s="4">
        <v>19</v>
      </c>
      <c r="AF852" s="4">
        <v>4</v>
      </c>
      <c r="AG852" s="4">
        <v>6</v>
      </c>
      <c r="AH852" s="4">
        <v>3</v>
      </c>
      <c r="AI852" s="4">
        <v>4</v>
      </c>
      <c r="AJ852" s="4">
        <v>12</v>
      </c>
      <c r="AK852" s="4">
        <v>16</v>
      </c>
      <c r="AL852" s="4">
        <v>0</v>
      </c>
      <c r="AM852" s="4">
        <v>0</v>
      </c>
      <c r="AN852" s="4">
        <v>0</v>
      </c>
      <c r="AO852" s="4">
        <v>0</v>
      </c>
      <c r="AP852" s="3" t="s">
        <v>58</v>
      </c>
      <c r="AQ852" s="3" t="s">
        <v>58</v>
      </c>
      <c r="AS852" s="6" t="str">
        <f>HYPERLINK("https://creighton-primo.hosted.exlibrisgroup.com/primo-explore/search?tab=default_tab&amp;search_scope=EVERYTHING&amp;vid=01CRU&amp;lang=en_US&amp;offset=0&amp;query=any,contains,991005179669702656","Catalog Record")</f>
        <v>Catalog Record</v>
      </c>
      <c r="AT852" s="6" t="str">
        <f>HYPERLINK("http://www.worldcat.org/oclc/7944708","WorldCat Record")</f>
        <v>WorldCat Record</v>
      </c>
      <c r="AU852" s="3" t="s">
        <v>10812</v>
      </c>
      <c r="AV852" s="3" t="s">
        <v>10813</v>
      </c>
      <c r="AW852" s="3" t="s">
        <v>10814</v>
      </c>
      <c r="AX852" s="3" t="s">
        <v>10814</v>
      </c>
      <c r="AY852" s="3" t="s">
        <v>10815</v>
      </c>
      <c r="AZ852" s="3" t="s">
        <v>75</v>
      </c>
      <c r="BB852" s="3" t="s">
        <v>10816</v>
      </c>
      <c r="BC852" s="3" t="s">
        <v>10817</v>
      </c>
      <c r="BD852" s="3" t="s">
        <v>10818</v>
      </c>
    </row>
    <row r="853" spans="1:56" ht="39" customHeight="1" x14ac:dyDescent="0.25">
      <c r="A853" s="7" t="s">
        <v>58</v>
      </c>
      <c r="B853" s="2" t="s">
        <v>10819</v>
      </c>
      <c r="C853" s="2" t="s">
        <v>10820</v>
      </c>
      <c r="D853" s="2" t="s">
        <v>10821</v>
      </c>
      <c r="F853" s="3" t="s">
        <v>58</v>
      </c>
      <c r="G853" s="3" t="s">
        <v>59</v>
      </c>
      <c r="H853" s="3" t="s">
        <v>58</v>
      </c>
      <c r="I853" s="3" t="s">
        <v>58</v>
      </c>
      <c r="J853" s="3" t="s">
        <v>60</v>
      </c>
      <c r="L853" s="2" t="s">
        <v>5437</v>
      </c>
      <c r="M853" s="3" t="s">
        <v>1289</v>
      </c>
      <c r="O853" s="3" t="s">
        <v>65</v>
      </c>
      <c r="P853" s="3" t="s">
        <v>186</v>
      </c>
      <c r="R853" s="3" t="s">
        <v>68</v>
      </c>
      <c r="S853" s="4">
        <v>4</v>
      </c>
      <c r="T853" s="4">
        <v>4</v>
      </c>
      <c r="U853" s="5" t="s">
        <v>10789</v>
      </c>
      <c r="V853" s="5" t="s">
        <v>10789</v>
      </c>
      <c r="W853" s="5" t="s">
        <v>10822</v>
      </c>
      <c r="X853" s="5" t="s">
        <v>10822</v>
      </c>
      <c r="Y853" s="4">
        <v>92</v>
      </c>
      <c r="Z853" s="4">
        <v>79</v>
      </c>
      <c r="AA853" s="4">
        <v>79</v>
      </c>
      <c r="AB853" s="4">
        <v>1</v>
      </c>
      <c r="AC853" s="4">
        <v>1</v>
      </c>
      <c r="AD853" s="4">
        <v>8</v>
      </c>
      <c r="AE853" s="4">
        <v>8</v>
      </c>
      <c r="AF853" s="4">
        <v>3</v>
      </c>
      <c r="AG853" s="4">
        <v>3</v>
      </c>
      <c r="AH853" s="4">
        <v>2</v>
      </c>
      <c r="AI853" s="4">
        <v>2</v>
      </c>
      <c r="AJ853" s="4">
        <v>6</v>
      </c>
      <c r="AK853" s="4">
        <v>6</v>
      </c>
      <c r="AL853" s="4">
        <v>0</v>
      </c>
      <c r="AM853" s="4">
        <v>0</v>
      </c>
      <c r="AN853" s="4">
        <v>0</v>
      </c>
      <c r="AO853" s="4">
        <v>0</v>
      </c>
      <c r="AP853" s="3" t="s">
        <v>58</v>
      </c>
      <c r="AQ853" s="3" t="s">
        <v>58</v>
      </c>
      <c r="AS853" s="6" t="str">
        <f>HYPERLINK("https://creighton-primo.hosted.exlibrisgroup.com/primo-explore/search?tab=default_tab&amp;search_scope=EVERYTHING&amp;vid=01CRU&amp;lang=en_US&amp;offset=0&amp;query=any,contains,991004167309702656","Catalog Record")</f>
        <v>Catalog Record</v>
      </c>
      <c r="AT853" s="6" t="str">
        <f>HYPERLINK("http://www.worldcat.org/oclc/52041293","WorldCat Record")</f>
        <v>WorldCat Record</v>
      </c>
      <c r="AU853" s="3" t="s">
        <v>10823</v>
      </c>
      <c r="AV853" s="3" t="s">
        <v>10824</v>
      </c>
      <c r="AW853" s="3" t="s">
        <v>10825</v>
      </c>
      <c r="AX853" s="3" t="s">
        <v>10825</v>
      </c>
      <c r="AY853" s="3" t="s">
        <v>10826</v>
      </c>
      <c r="AZ853" s="3" t="s">
        <v>75</v>
      </c>
      <c r="BB853" s="3" t="s">
        <v>10827</v>
      </c>
      <c r="BC853" s="3" t="s">
        <v>10828</v>
      </c>
      <c r="BD853" s="3" t="s">
        <v>10829</v>
      </c>
    </row>
    <row r="854" spans="1:56" ht="39" customHeight="1" x14ac:dyDescent="0.25">
      <c r="A854" s="7" t="s">
        <v>58</v>
      </c>
      <c r="B854" s="2" t="s">
        <v>10830</v>
      </c>
      <c r="C854" s="2" t="s">
        <v>10831</v>
      </c>
      <c r="D854" s="2" t="s">
        <v>10832</v>
      </c>
      <c r="F854" s="3" t="s">
        <v>58</v>
      </c>
      <c r="G854" s="3" t="s">
        <v>59</v>
      </c>
      <c r="H854" s="3" t="s">
        <v>58</v>
      </c>
      <c r="I854" s="3" t="s">
        <v>58</v>
      </c>
      <c r="J854" s="3" t="s">
        <v>60</v>
      </c>
      <c r="K854" s="2" t="s">
        <v>7631</v>
      </c>
      <c r="L854" s="2" t="s">
        <v>10833</v>
      </c>
      <c r="M854" s="3" t="s">
        <v>462</v>
      </c>
      <c r="O854" s="3" t="s">
        <v>65</v>
      </c>
      <c r="P854" s="3" t="s">
        <v>3164</v>
      </c>
      <c r="R854" s="3" t="s">
        <v>68</v>
      </c>
      <c r="S854" s="4">
        <v>3</v>
      </c>
      <c r="T854" s="4">
        <v>3</v>
      </c>
      <c r="U854" s="5" t="s">
        <v>10834</v>
      </c>
      <c r="V854" s="5" t="s">
        <v>10834</v>
      </c>
      <c r="W854" s="5" t="s">
        <v>10643</v>
      </c>
      <c r="X854" s="5" t="s">
        <v>10643</v>
      </c>
      <c r="Y854" s="4">
        <v>141</v>
      </c>
      <c r="Z854" s="4">
        <v>124</v>
      </c>
      <c r="AA854" s="4">
        <v>146</v>
      </c>
      <c r="AB854" s="4">
        <v>1</v>
      </c>
      <c r="AC854" s="4">
        <v>1</v>
      </c>
      <c r="AD854" s="4">
        <v>9</v>
      </c>
      <c r="AE854" s="4">
        <v>9</v>
      </c>
      <c r="AF854" s="4">
        <v>2</v>
      </c>
      <c r="AG854" s="4">
        <v>2</v>
      </c>
      <c r="AH854" s="4">
        <v>2</v>
      </c>
      <c r="AI854" s="4">
        <v>2</v>
      </c>
      <c r="AJ854" s="4">
        <v>6</v>
      </c>
      <c r="AK854" s="4">
        <v>6</v>
      </c>
      <c r="AL854" s="4">
        <v>0</v>
      </c>
      <c r="AM854" s="4">
        <v>0</v>
      </c>
      <c r="AN854" s="4">
        <v>0</v>
      </c>
      <c r="AO854" s="4">
        <v>0</v>
      </c>
      <c r="AP854" s="3" t="s">
        <v>58</v>
      </c>
      <c r="AQ854" s="3" t="s">
        <v>58</v>
      </c>
      <c r="AS854" s="6" t="str">
        <f>HYPERLINK("https://creighton-primo.hosted.exlibrisgroup.com/primo-explore/search?tab=default_tab&amp;search_scope=EVERYTHING&amp;vid=01CRU&amp;lang=en_US&amp;offset=0&amp;query=any,contains,991000445129702656","Catalog Record")</f>
        <v>Catalog Record</v>
      </c>
      <c r="AT854" s="6" t="str">
        <f>HYPERLINK("http://www.worldcat.org/oclc/10850081","WorldCat Record")</f>
        <v>WorldCat Record</v>
      </c>
      <c r="AU854" s="3" t="s">
        <v>10835</v>
      </c>
      <c r="AV854" s="3" t="s">
        <v>10836</v>
      </c>
      <c r="AW854" s="3" t="s">
        <v>10837</v>
      </c>
      <c r="AX854" s="3" t="s">
        <v>10837</v>
      </c>
      <c r="AY854" s="3" t="s">
        <v>10838</v>
      </c>
      <c r="AZ854" s="3" t="s">
        <v>75</v>
      </c>
      <c r="BB854" s="3" t="s">
        <v>10839</v>
      </c>
      <c r="BC854" s="3" t="s">
        <v>10840</v>
      </c>
      <c r="BD854" s="3" t="s">
        <v>10841</v>
      </c>
    </row>
    <row r="855" spans="1:56" ht="39" customHeight="1" x14ac:dyDescent="0.25">
      <c r="A855" s="7" t="s">
        <v>58</v>
      </c>
      <c r="B855" s="2" t="s">
        <v>10842</v>
      </c>
      <c r="C855" s="2" t="s">
        <v>10843</v>
      </c>
      <c r="D855" s="2" t="s">
        <v>10844</v>
      </c>
      <c r="F855" s="3" t="s">
        <v>58</v>
      </c>
      <c r="G855" s="3" t="s">
        <v>59</v>
      </c>
      <c r="H855" s="3" t="s">
        <v>58</v>
      </c>
      <c r="I855" s="3" t="s">
        <v>58</v>
      </c>
      <c r="J855" s="3" t="s">
        <v>60</v>
      </c>
      <c r="L855" s="2" t="s">
        <v>10845</v>
      </c>
      <c r="M855" s="3" t="s">
        <v>157</v>
      </c>
      <c r="O855" s="3" t="s">
        <v>65</v>
      </c>
      <c r="P855" s="3" t="s">
        <v>186</v>
      </c>
      <c r="R855" s="3" t="s">
        <v>68</v>
      </c>
      <c r="S855" s="4">
        <v>5</v>
      </c>
      <c r="T855" s="4">
        <v>5</v>
      </c>
      <c r="U855" s="5" t="s">
        <v>1247</v>
      </c>
      <c r="V855" s="5" t="s">
        <v>1247</v>
      </c>
      <c r="W855" s="5" t="s">
        <v>2521</v>
      </c>
      <c r="X855" s="5" t="s">
        <v>2521</v>
      </c>
      <c r="Y855" s="4">
        <v>247</v>
      </c>
      <c r="Z855" s="4">
        <v>208</v>
      </c>
      <c r="AA855" s="4">
        <v>208</v>
      </c>
      <c r="AB855" s="4">
        <v>2</v>
      </c>
      <c r="AC855" s="4">
        <v>2</v>
      </c>
      <c r="AD855" s="4">
        <v>17</v>
      </c>
      <c r="AE855" s="4">
        <v>17</v>
      </c>
      <c r="AF855" s="4">
        <v>6</v>
      </c>
      <c r="AG855" s="4">
        <v>6</v>
      </c>
      <c r="AH855" s="4">
        <v>6</v>
      </c>
      <c r="AI855" s="4">
        <v>6</v>
      </c>
      <c r="AJ855" s="4">
        <v>11</v>
      </c>
      <c r="AK855" s="4">
        <v>11</v>
      </c>
      <c r="AL855" s="4">
        <v>0</v>
      </c>
      <c r="AM855" s="4">
        <v>0</v>
      </c>
      <c r="AN855" s="4">
        <v>0</v>
      </c>
      <c r="AO855" s="4">
        <v>0</v>
      </c>
      <c r="AP855" s="3" t="s">
        <v>58</v>
      </c>
      <c r="AQ855" s="3" t="s">
        <v>58</v>
      </c>
      <c r="AS855" s="6" t="str">
        <f>HYPERLINK("https://creighton-primo.hosted.exlibrisgroup.com/primo-explore/search?tab=default_tab&amp;search_scope=EVERYTHING&amp;vid=01CRU&amp;lang=en_US&amp;offset=0&amp;query=any,contains,991005211149702656","Catalog Record")</f>
        <v>Catalog Record</v>
      </c>
      <c r="AT855" s="6" t="str">
        <f>HYPERLINK("http://www.worldcat.org/oclc/8169154","WorldCat Record")</f>
        <v>WorldCat Record</v>
      </c>
      <c r="AU855" s="3" t="s">
        <v>10846</v>
      </c>
      <c r="AV855" s="3" t="s">
        <v>10847</v>
      </c>
      <c r="AW855" s="3" t="s">
        <v>10848</v>
      </c>
      <c r="AX855" s="3" t="s">
        <v>10848</v>
      </c>
      <c r="AY855" s="3" t="s">
        <v>10849</v>
      </c>
      <c r="AZ855" s="3" t="s">
        <v>75</v>
      </c>
      <c r="BB855" s="3" t="s">
        <v>10850</v>
      </c>
      <c r="BC855" s="3" t="s">
        <v>10851</v>
      </c>
      <c r="BD855" s="3" t="s">
        <v>10852</v>
      </c>
    </row>
    <row r="856" spans="1:56" ht="39" customHeight="1" x14ac:dyDescent="0.25">
      <c r="A856" s="7" t="s">
        <v>58</v>
      </c>
      <c r="B856" s="2" t="s">
        <v>10853</v>
      </c>
      <c r="C856" s="2" t="s">
        <v>10854</v>
      </c>
      <c r="D856" s="2" t="s">
        <v>10855</v>
      </c>
      <c r="F856" s="3" t="s">
        <v>58</v>
      </c>
      <c r="G856" s="3" t="s">
        <v>59</v>
      </c>
      <c r="H856" s="3" t="s">
        <v>58</v>
      </c>
      <c r="I856" s="3" t="s">
        <v>58</v>
      </c>
      <c r="J856" s="3" t="s">
        <v>60</v>
      </c>
      <c r="K856" s="2" t="s">
        <v>10856</v>
      </c>
      <c r="L856" s="2" t="s">
        <v>10857</v>
      </c>
      <c r="M856" s="3" t="s">
        <v>966</v>
      </c>
      <c r="O856" s="3" t="s">
        <v>65</v>
      </c>
      <c r="P856" s="3" t="s">
        <v>186</v>
      </c>
      <c r="R856" s="3" t="s">
        <v>68</v>
      </c>
      <c r="S856" s="4">
        <v>7</v>
      </c>
      <c r="T856" s="4">
        <v>7</v>
      </c>
      <c r="U856" s="5" t="s">
        <v>1247</v>
      </c>
      <c r="V856" s="5" t="s">
        <v>1247</v>
      </c>
      <c r="W856" s="5" t="s">
        <v>10858</v>
      </c>
      <c r="X856" s="5" t="s">
        <v>10858</v>
      </c>
      <c r="Y856" s="4">
        <v>22</v>
      </c>
      <c r="Z856" s="4">
        <v>20</v>
      </c>
      <c r="AA856" s="4">
        <v>25</v>
      </c>
      <c r="AB856" s="4">
        <v>1</v>
      </c>
      <c r="AC856" s="4">
        <v>1</v>
      </c>
      <c r="AD856" s="4">
        <v>3</v>
      </c>
      <c r="AE856" s="4">
        <v>3</v>
      </c>
      <c r="AF856" s="4">
        <v>0</v>
      </c>
      <c r="AG856" s="4">
        <v>0</v>
      </c>
      <c r="AH856" s="4">
        <v>1</v>
      </c>
      <c r="AI856" s="4">
        <v>1</v>
      </c>
      <c r="AJ856" s="4">
        <v>2</v>
      </c>
      <c r="AK856" s="4">
        <v>2</v>
      </c>
      <c r="AL856" s="4">
        <v>0</v>
      </c>
      <c r="AM856" s="4">
        <v>0</v>
      </c>
      <c r="AN856" s="4">
        <v>0</v>
      </c>
      <c r="AO856" s="4">
        <v>0</v>
      </c>
      <c r="AP856" s="3" t="s">
        <v>58</v>
      </c>
      <c r="AQ856" s="3" t="s">
        <v>58</v>
      </c>
      <c r="AS856" s="6" t="str">
        <f>HYPERLINK("https://creighton-primo.hosted.exlibrisgroup.com/primo-explore/search?tab=default_tab&amp;search_scope=EVERYTHING&amp;vid=01CRU&amp;lang=en_US&amp;offset=0&amp;query=any,contains,991002197189702656","Catalog Record")</f>
        <v>Catalog Record</v>
      </c>
      <c r="AT856" s="6" t="str">
        <f>HYPERLINK("http://www.worldcat.org/oclc/28256094","WorldCat Record")</f>
        <v>WorldCat Record</v>
      </c>
      <c r="AU856" s="3" t="s">
        <v>10859</v>
      </c>
      <c r="AV856" s="3" t="s">
        <v>10860</v>
      </c>
      <c r="AW856" s="3" t="s">
        <v>10861</v>
      </c>
      <c r="AX856" s="3" t="s">
        <v>10861</v>
      </c>
      <c r="AY856" s="3" t="s">
        <v>10862</v>
      </c>
      <c r="AZ856" s="3" t="s">
        <v>75</v>
      </c>
      <c r="BB856" s="3" t="s">
        <v>10863</v>
      </c>
      <c r="BC856" s="3" t="s">
        <v>10864</v>
      </c>
      <c r="BD856" s="3" t="s">
        <v>10865</v>
      </c>
    </row>
    <row r="857" spans="1:56" ht="39" customHeight="1" x14ac:dyDescent="0.25">
      <c r="A857" s="7" t="s">
        <v>58</v>
      </c>
      <c r="B857" s="2" t="s">
        <v>10866</v>
      </c>
      <c r="C857" s="2" t="s">
        <v>10867</v>
      </c>
      <c r="D857" s="2" t="s">
        <v>10868</v>
      </c>
      <c r="F857" s="3" t="s">
        <v>58</v>
      </c>
      <c r="G857" s="3" t="s">
        <v>59</v>
      </c>
      <c r="H857" s="3" t="s">
        <v>58</v>
      </c>
      <c r="I857" s="3" t="s">
        <v>58</v>
      </c>
      <c r="J857" s="3" t="s">
        <v>60</v>
      </c>
      <c r="K857" s="2" t="s">
        <v>10869</v>
      </c>
      <c r="L857" s="2" t="s">
        <v>10870</v>
      </c>
      <c r="M857" s="3" t="s">
        <v>273</v>
      </c>
      <c r="O857" s="3" t="s">
        <v>65</v>
      </c>
      <c r="P857" s="3" t="s">
        <v>186</v>
      </c>
      <c r="R857" s="3" t="s">
        <v>68</v>
      </c>
      <c r="S857" s="4">
        <v>9</v>
      </c>
      <c r="T857" s="4">
        <v>9</v>
      </c>
      <c r="U857" s="5" t="s">
        <v>8113</v>
      </c>
      <c r="V857" s="5" t="s">
        <v>8113</v>
      </c>
      <c r="W857" s="5" t="s">
        <v>5067</v>
      </c>
      <c r="X857" s="5" t="s">
        <v>5067</v>
      </c>
      <c r="Y857" s="4">
        <v>119</v>
      </c>
      <c r="Z857" s="4">
        <v>109</v>
      </c>
      <c r="AA857" s="4">
        <v>109</v>
      </c>
      <c r="AB857" s="4">
        <v>1</v>
      </c>
      <c r="AC857" s="4">
        <v>1</v>
      </c>
      <c r="AD857" s="4">
        <v>8</v>
      </c>
      <c r="AE857" s="4">
        <v>8</v>
      </c>
      <c r="AF857" s="4">
        <v>2</v>
      </c>
      <c r="AG857" s="4">
        <v>2</v>
      </c>
      <c r="AH857" s="4">
        <v>2</v>
      </c>
      <c r="AI857" s="4">
        <v>2</v>
      </c>
      <c r="AJ857" s="4">
        <v>5</v>
      </c>
      <c r="AK857" s="4">
        <v>5</v>
      </c>
      <c r="AL857" s="4">
        <v>0</v>
      </c>
      <c r="AM857" s="4">
        <v>0</v>
      </c>
      <c r="AN857" s="4">
        <v>0</v>
      </c>
      <c r="AO857" s="4">
        <v>0</v>
      </c>
      <c r="AP857" s="3" t="s">
        <v>58</v>
      </c>
      <c r="AQ857" s="3" t="s">
        <v>58</v>
      </c>
      <c r="AS857" s="6" t="str">
        <f>HYPERLINK("https://creighton-primo.hosted.exlibrisgroup.com/primo-explore/search?tab=default_tab&amp;search_scope=EVERYTHING&amp;vid=01CRU&amp;lang=en_US&amp;offset=0&amp;query=any,contains,991002328109702656","Catalog Record")</f>
        <v>Catalog Record</v>
      </c>
      <c r="AT857" s="6" t="str">
        <f>HYPERLINK("http://www.worldcat.org/oclc/30318796","WorldCat Record")</f>
        <v>WorldCat Record</v>
      </c>
      <c r="AU857" s="3" t="s">
        <v>10871</v>
      </c>
      <c r="AV857" s="3" t="s">
        <v>10872</v>
      </c>
      <c r="AW857" s="3" t="s">
        <v>10873</v>
      </c>
      <c r="AX857" s="3" t="s">
        <v>10873</v>
      </c>
      <c r="AY857" s="3" t="s">
        <v>10874</v>
      </c>
      <c r="AZ857" s="3" t="s">
        <v>75</v>
      </c>
      <c r="BB857" s="3" t="s">
        <v>10875</v>
      </c>
      <c r="BC857" s="3" t="s">
        <v>10876</v>
      </c>
      <c r="BD857" s="3" t="s">
        <v>10877</v>
      </c>
    </row>
    <row r="858" spans="1:56" ht="39" customHeight="1" x14ac:dyDescent="0.25">
      <c r="A858" s="7" t="s">
        <v>58</v>
      </c>
      <c r="B858" s="2" t="s">
        <v>10878</v>
      </c>
      <c r="C858" s="2" t="s">
        <v>10879</v>
      </c>
      <c r="D858" s="2" t="s">
        <v>10880</v>
      </c>
      <c r="F858" s="3" t="s">
        <v>58</v>
      </c>
      <c r="G858" s="3" t="s">
        <v>59</v>
      </c>
      <c r="H858" s="3" t="s">
        <v>58</v>
      </c>
      <c r="I858" s="3" t="s">
        <v>58</v>
      </c>
      <c r="J858" s="3" t="s">
        <v>60</v>
      </c>
      <c r="K858" s="2" t="s">
        <v>10881</v>
      </c>
      <c r="L858" s="2" t="s">
        <v>10882</v>
      </c>
      <c r="M858" s="3" t="s">
        <v>1261</v>
      </c>
      <c r="O858" s="3" t="s">
        <v>65</v>
      </c>
      <c r="P858" s="3" t="s">
        <v>66</v>
      </c>
      <c r="R858" s="3" t="s">
        <v>68</v>
      </c>
      <c r="S858" s="4">
        <v>1</v>
      </c>
      <c r="T858" s="4">
        <v>1</v>
      </c>
      <c r="U858" s="5" t="s">
        <v>1084</v>
      </c>
      <c r="V858" s="5" t="s">
        <v>1084</v>
      </c>
      <c r="W858" s="5" t="s">
        <v>1084</v>
      </c>
      <c r="X858" s="5" t="s">
        <v>1084</v>
      </c>
      <c r="Y858" s="4">
        <v>5</v>
      </c>
      <c r="Z858" s="4">
        <v>3</v>
      </c>
      <c r="AA858" s="4">
        <v>40</v>
      </c>
      <c r="AB858" s="4">
        <v>1</v>
      </c>
      <c r="AC858" s="4">
        <v>1</v>
      </c>
      <c r="AD858" s="4">
        <v>0</v>
      </c>
      <c r="AE858" s="4">
        <v>4</v>
      </c>
      <c r="AF858" s="4">
        <v>0</v>
      </c>
      <c r="AG858" s="4">
        <v>2</v>
      </c>
      <c r="AH858" s="4">
        <v>0</v>
      </c>
      <c r="AI858" s="4">
        <v>0</v>
      </c>
      <c r="AJ858" s="4">
        <v>0</v>
      </c>
      <c r="AK858" s="4">
        <v>3</v>
      </c>
      <c r="AL858" s="4">
        <v>0</v>
      </c>
      <c r="AM858" s="4">
        <v>0</v>
      </c>
      <c r="AN858" s="4">
        <v>0</v>
      </c>
      <c r="AO858" s="4">
        <v>0</v>
      </c>
      <c r="AP858" s="3" t="s">
        <v>58</v>
      </c>
      <c r="AQ858" s="3" t="s">
        <v>58</v>
      </c>
      <c r="AS858" s="6" t="str">
        <f>HYPERLINK("https://creighton-primo.hosted.exlibrisgroup.com/primo-explore/search?tab=default_tab&amp;search_scope=EVERYTHING&amp;vid=01CRU&amp;lang=en_US&amp;offset=0&amp;query=any,contains,991004529429702656","Catalog Record")</f>
        <v>Catalog Record</v>
      </c>
      <c r="AT858" s="6" t="str">
        <f>HYPERLINK("http://www.worldcat.org/oclc/46453666","WorldCat Record")</f>
        <v>WorldCat Record</v>
      </c>
      <c r="AU858" s="3" t="s">
        <v>10883</v>
      </c>
      <c r="AV858" s="3" t="s">
        <v>10884</v>
      </c>
      <c r="AW858" s="3" t="s">
        <v>10885</v>
      </c>
      <c r="AX858" s="3" t="s">
        <v>10885</v>
      </c>
      <c r="AY858" s="3" t="s">
        <v>10886</v>
      </c>
      <c r="AZ858" s="3" t="s">
        <v>75</v>
      </c>
      <c r="BC858" s="3" t="s">
        <v>10887</v>
      </c>
      <c r="BD858" s="3" t="s">
        <v>10888</v>
      </c>
    </row>
    <row r="859" spans="1:56" ht="39" customHeight="1" x14ac:dyDescent="0.25">
      <c r="A859" s="7" t="s">
        <v>58</v>
      </c>
      <c r="B859" s="2" t="s">
        <v>10889</v>
      </c>
      <c r="C859" s="2" t="s">
        <v>10890</v>
      </c>
      <c r="D859" s="2" t="s">
        <v>10891</v>
      </c>
      <c r="F859" s="3" t="s">
        <v>58</v>
      </c>
      <c r="G859" s="3" t="s">
        <v>59</v>
      </c>
      <c r="H859" s="3" t="s">
        <v>58</v>
      </c>
      <c r="I859" s="3" t="s">
        <v>58</v>
      </c>
      <c r="J859" s="3" t="s">
        <v>60</v>
      </c>
      <c r="K859" s="2" t="s">
        <v>10892</v>
      </c>
      <c r="L859" s="2" t="s">
        <v>10893</v>
      </c>
      <c r="M859" s="3" t="s">
        <v>845</v>
      </c>
      <c r="O859" s="3" t="s">
        <v>1490</v>
      </c>
      <c r="P859" s="3" t="s">
        <v>954</v>
      </c>
      <c r="Q859" s="2" t="s">
        <v>10894</v>
      </c>
      <c r="R859" s="3" t="s">
        <v>68</v>
      </c>
      <c r="S859" s="4">
        <v>1</v>
      </c>
      <c r="T859" s="4">
        <v>1</v>
      </c>
      <c r="U859" s="5" t="s">
        <v>10895</v>
      </c>
      <c r="V859" s="5" t="s">
        <v>10895</v>
      </c>
      <c r="W859" s="5" t="s">
        <v>10643</v>
      </c>
      <c r="X859" s="5" t="s">
        <v>10643</v>
      </c>
      <c r="Y859" s="4">
        <v>219</v>
      </c>
      <c r="Z859" s="4">
        <v>146</v>
      </c>
      <c r="AA859" s="4">
        <v>149</v>
      </c>
      <c r="AB859" s="4">
        <v>2</v>
      </c>
      <c r="AC859" s="4">
        <v>2</v>
      </c>
      <c r="AD859" s="4">
        <v>17</v>
      </c>
      <c r="AE859" s="4">
        <v>17</v>
      </c>
      <c r="AF859" s="4">
        <v>4</v>
      </c>
      <c r="AG859" s="4">
        <v>4</v>
      </c>
      <c r="AH859" s="4">
        <v>4</v>
      </c>
      <c r="AI859" s="4">
        <v>4</v>
      </c>
      <c r="AJ859" s="4">
        <v>13</v>
      </c>
      <c r="AK859" s="4">
        <v>13</v>
      </c>
      <c r="AL859" s="4">
        <v>1</v>
      </c>
      <c r="AM859" s="4">
        <v>1</v>
      </c>
      <c r="AN859" s="4">
        <v>0</v>
      </c>
      <c r="AO859" s="4">
        <v>0</v>
      </c>
      <c r="AP859" s="3" t="s">
        <v>58</v>
      </c>
      <c r="AQ859" s="3" t="s">
        <v>132</v>
      </c>
      <c r="AR859" s="6" t="str">
        <f>HYPERLINK("http://catalog.hathitrust.org/Record/001415014","HathiTrust Record")</f>
        <v>HathiTrust Record</v>
      </c>
      <c r="AS859" s="6" t="str">
        <f>HYPERLINK("https://creighton-primo.hosted.exlibrisgroup.com/primo-explore/search?tab=default_tab&amp;search_scope=EVERYTHING&amp;vid=01CRU&amp;lang=en_US&amp;offset=0&amp;query=any,contains,991003590259702656","Catalog Record")</f>
        <v>Catalog Record</v>
      </c>
      <c r="AT859" s="6" t="str">
        <f>HYPERLINK("http://www.worldcat.org/oclc/1172741","WorldCat Record")</f>
        <v>WorldCat Record</v>
      </c>
      <c r="AU859" s="3" t="s">
        <v>10896</v>
      </c>
      <c r="AV859" s="3" t="s">
        <v>10897</v>
      </c>
      <c r="AW859" s="3" t="s">
        <v>10898</v>
      </c>
      <c r="AX859" s="3" t="s">
        <v>10898</v>
      </c>
      <c r="AY859" s="3" t="s">
        <v>10899</v>
      </c>
      <c r="AZ859" s="3" t="s">
        <v>75</v>
      </c>
      <c r="BC859" s="3" t="s">
        <v>10900</v>
      </c>
      <c r="BD859" s="3" t="s">
        <v>10901</v>
      </c>
    </row>
    <row r="860" spans="1:56" ht="39" customHeight="1" x14ac:dyDescent="0.25">
      <c r="A860" s="7" t="s">
        <v>58</v>
      </c>
      <c r="B860" s="2" t="s">
        <v>10902</v>
      </c>
      <c r="C860" s="2" t="s">
        <v>10903</v>
      </c>
      <c r="D860" s="2" t="s">
        <v>10904</v>
      </c>
      <c r="F860" s="3" t="s">
        <v>58</v>
      </c>
      <c r="G860" s="3" t="s">
        <v>59</v>
      </c>
      <c r="H860" s="3" t="s">
        <v>58</v>
      </c>
      <c r="I860" s="3" t="s">
        <v>58</v>
      </c>
      <c r="J860" s="3" t="s">
        <v>60</v>
      </c>
      <c r="K860" s="2" t="s">
        <v>10905</v>
      </c>
      <c r="L860" s="2" t="s">
        <v>10906</v>
      </c>
      <c r="M860" s="3" t="s">
        <v>128</v>
      </c>
      <c r="O860" s="3" t="s">
        <v>65</v>
      </c>
      <c r="P860" s="3" t="s">
        <v>967</v>
      </c>
      <c r="R860" s="3" t="s">
        <v>68</v>
      </c>
      <c r="S860" s="4">
        <v>9</v>
      </c>
      <c r="T860" s="4">
        <v>9</v>
      </c>
      <c r="U860" s="5" t="s">
        <v>10907</v>
      </c>
      <c r="V860" s="5" t="s">
        <v>10907</v>
      </c>
      <c r="W860" s="5" t="s">
        <v>10643</v>
      </c>
      <c r="X860" s="5" t="s">
        <v>10643</v>
      </c>
      <c r="Y860" s="4">
        <v>164</v>
      </c>
      <c r="Z860" s="4">
        <v>149</v>
      </c>
      <c r="AA860" s="4">
        <v>151</v>
      </c>
      <c r="AB860" s="4">
        <v>1</v>
      </c>
      <c r="AC860" s="4">
        <v>1</v>
      </c>
      <c r="AD860" s="4">
        <v>15</v>
      </c>
      <c r="AE860" s="4">
        <v>16</v>
      </c>
      <c r="AF860" s="4">
        <v>4</v>
      </c>
      <c r="AG860" s="4">
        <v>4</v>
      </c>
      <c r="AH860" s="4">
        <v>6</v>
      </c>
      <c r="AI860" s="4">
        <v>6</v>
      </c>
      <c r="AJ860" s="4">
        <v>10</v>
      </c>
      <c r="AK860" s="4">
        <v>11</v>
      </c>
      <c r="AL860" s="4">
        <v>0</v>
      </c>
      <c r="AM860" s="4">
        <v>0</v>
      </c>
      <c r="AN860" s="4">
        <v>0</v>
      </c>
      <c r="AO860" s="4">
        <v>0</v>
      </c>
      <c r="AP860" s="3" t="s">
        <v>58</v>
      </c>
      <c r="AQ860" s="3" t="s">
        <v>58</v>
      </c>
      <c r="AS860" s="6" t="str">
        <f>HYPERLINK("https://creighton-primo.hosted.exlibrisgroup.com/primo-explore/search?tab=default_tab&amp;search_scope=EVERYTHING&amp;vid=01CRU&amp;lang=en_US&amp;offset=0&amp;query=any,contains,991004405549702656","Catalog Record")</f>
        <v>Catalog Record</v>
      </c>
      <c r="AT860" s="6" t="str">
        <f>HYPERLINK("http://www.worldcat.org/oclc/3320733","WorldCat Record")</f>
        <v>WorldCat Record</v>
      </c>
      <c r="AU860" s="3" t="s">
        <v>10908</v>
      </c>
      <c r="AV860" s="3" t="s">
        <v>10909</v>
      </c>
      <c r="AW860" s="3" t="s">
        <v>10910</v>
      </c>
      <c r="AX860" s="3" t="s">
        <v>10910</v>
      </c>
      <c r="AY860" s="3" t="s">
        <v>10911</v>
      </c>
      <c r="AZ860" s="3" t="s">
        <v>75</v>
      </c>
      <c r="BB860" s="3" t="s">
        <v>10912</v>
      </c>
      <c r="BC860" s="3" t="s">
        <v>10913</v>
      </c>
      <c r="BD860" s="3" t="s">
        <v>10914</v>
      </c>
    </row>
    <row r="861" spans="1:56" ht="39" customHeight="1" x14ac:dyDescent="0.25">
      <c r="A861" s="7" t="s">
        <v>58</v>
      </c>
      <c r="B861" s="2" t="s">
        <v>10915</v>
      </c>
      <c r="C861" s="2" t="s">
        <v>10916</v>
      </c>
      <c r="D861" s="2" t="s">
        <v>10917</v>
      </c>
      <c r="F861" s="3" t="s">
        <v>58</v>
      </c>
      <c r="G861" s="3" t="s">
        <v>59</v>
      </c>
      <c r="H861" s="3" t="s">
        <v>58</v>
      </c>
      <c r="I861" s="3" t="s">
        <v>58</v>
      </c>
      <c r="J861" s="3" t="s">
        <v>60</v>
      </c>
      <c r="K861" s="2" t="s">
        <v>10918</v>
      </c>
      <c r="L861" s="2" t="s">
        <v>10919</v>
      </c>
      <c r="M861" s="3" t="s">
        <v>2179</v>
      </c>
      <c r="O861" s="3" t="s">
        <v>65</v>
      </c>
      <c r="P861" s="3" t="s">
        <v>954</v>
      </c>
      <c r="Q861" s="2" t="s">
        <v>10920</v>
      </c>
      <c r="R861" s="3" t="s">
        <v>68</v>
      </c>
      <c r="S861" s="4">
        <v>4</v>
      </c>
      <c r="T861" s="4">
        <v>4</v>
      </c>
      <c r="U861" s="5" t="s">
        <v>10921</v>
      </c>
      <c r="V861" s="5" t="s">
        <v>10921</v>
      </c>
      <c r="W861" s="5" t="s">
        <v>10643</v>
      </c>
      <c r="X861" s="5" t="s">
        <v>10643</v>
      </c>
      <c r="Y861" s="4">
        <v>944</v>
      </c>
      <c r="Z861" s="4">
        <v>850</v>
      </c>
      <c r="AA861" s="4">
        <v>935</v>
      </c>
      <c r="AB861" s="4">
        <v>9</v>
      </c>
      <c r="AC861" s="4">
        <v>9</v>
      </c>
      <c r="AD861" s="4">
        <v>39</v>
      </c>
      <c r="AE861" s="4">
        <v>45</v>
      </c>
      <c r="AF861" s="4">
        <v>18</v>
      </c>
      <c r="AG861" s="4">
        <v>20</v>
      </c>
      <c r="AH861" s="4">
        <v>7</v>
      </c>
      <c r="AI861" s="4">
        <v>8</v>
      </c>
      <c r="AJ861" s="4">
        <v>18</v>
      </c>
      <c r="AK861" s="4">
        <v>22</v>
      </c>
      <c r="AL861" s="4">
        <v>6</v>
      </c>
      <c r="AM861" s="4">
        <v>6</v>
      </c>
      <c r="AN861" s="4">
        <v>0</v>
      </c>
      <c r="AO861" s="4">
        <v>0</v>
      </c>
      <c r="AP861" s="3" t="s">
        <v>132</v>
      </c>
      <c r="AQ861" s="3" t="s">
        <v>58</v>
      </c>
      <c r="AR861" s="6" t="str">
        <f>HYPERLINK("http://catalog.hathitrust.org/Record/001401083","HathiTrust Record")</f>
        <v>HathiTrust Record</v>
      </c>
      <c r="AS861" s="6" t="str">
        <f>HYPERLINK("https://creighton-primo.hosted.exlibrisgroup.com/primo-explore/search?tab=default_tab&amp;search_scope=EVERYTHING&amp;vid=01CRU&amp;lang=en_US&amp;offset=0&amp;query=any,contains,991002195709702656","Catalog Record")</f>
        <v>Catalog Record</v>
      </c>
      <c r="AT861" s="6" t="str">
        <f>HYPERLINK("http://www.worldcat.org/oclc/282860","WorldCat Record")</f>
        <v>WorldCat Record</v>
      </c>
      <c r="AU861" s="3" t="s">
        <v>10922</v>
      </c>
      <c r="AV861" s="3" t="s">
        <v>10923</v>
      </c>
      <c r="AW861" s="3" t="s">
        <v>10924</v>
      </c>
      <c r="AX861" s="3" t="s">
        <v>10924</v>
      </c>
      <c r="AY861" s="3" t="s">
        <v>10925</v>
      </c>
      <c r="AZ861" s="3" t="s">
        <v>75</v>
      </c>
      <c r="BC861" s="3" t="s">
        <v>10926</v>
      </c>
      <c r="BD861" s="3" t="s">
        <v>10927</v>
      </c>
    </row>
    <row r="862" spans="1:56" ht="39" customHeight="1" x14ac:dyDescent="0.25">
      <c r="A862" s="7" t="s">
        <v>58</v>
      </c>
      <c r="B862" s="2" t="s">
        <v>10928</v>
      </c>
      <c r="C862" s="2" t="s">
        <v>10929</v>
      </c>
      <c r="D862" s="2" t="s">
        <v>10930</v>
      </c>
      <c r="F862" s="3" t="s">
        <v>58</v>
      </c>
      <c r="G862" s="3" t="s">
        <v>59</v>
      </c>
      <c r="H862" s="3" t="s">
        <v>58</v>
      </c>
      <c r="I862" s="3" t="s">
        <v>58</v>
      </c>
      <c r="J862" s="3" t="s">
        <v>60</v>
      </c>
      <c r="K862" s="2" t="s">
        <v>10931</v>
      </c>
      <c r="L862" s="2" t="s">
        <v>10932</v>
      </c>
      <c r="M862" s="3" t="s">
        <v>2855</v>
      </c>
      <c r="O862" s="3" t="s">
        <v>65</v>
      </c>
      <c r="P862" s="3" t="s">
        <v>954</v>
      </c>
      <c r="R862" s="3" t="s">
        <v>68</v>
      </c>
      <c r="S862" s="4">
        <v>3</v>
      </c>
      <c r="T862" s="4">
        <v>3</v>
      </c>
      <c r="U862" s="5" t="s">
        <v>10933</v>
      </c>
      <c r="V862" s="5" t="s">
        <v>10933</v>
      </c>
      <c r="W862" s="5" t="s">
        <v>10643</v>
      </c>
      <c r="X862" s="5" t="s">
        <v>10643</v>
      </c>
      <c r="Y862" s="4">
        <v>47</v>
      </c>
      <c r="Z862" s="4">
        <v>35</v>
      </c>
      <c r="AA862" s="4">
        <v>48</v>
      </c>
      <c r="AB862" s="4">
        <v>1</v>
      </c>
      <c r="AC862" s="4">
        <v>1</v>
      </c>
      <c r="AD862" s="4">
        <v>8</v>
      </c>
      <c r="AE862" s="4">
        <v>9</v>
      </c>
      <c r="AF862" s="4">
        <v>2</v>
      </c>
      <c r="AG862" s="4">
        <v>2</v>
      </c>
      <c r="AH862" s="4">
        <v>3</v>
      </c>
      <c r="AI862" s="4">
        <v>3</v>
      </c>
      <c r="AJ862" s="4">
        <v>5</v>
      </c>
      <c r="AK862" s="4">
        <v>6</v>
      </c>
      <c r="AL862" s="4">
        <v>0</v>
      </c>
      <c r="AM862" s="4">
        <v>0</v>
      </c>
      <c r="AN862" s="4">
        <v>0</v>
      </c>
      <c r="AO862" s="4">
        <v>0</v>
      </c>
      <c r="AP862" s="3" t="s">
        <v>58</v>
      </c>
      <c r="AQ862" s="3" t="s">
        <v>58</v>
      </c>
      <c r="AS862" s="6" t="str">
        <f>HYPERLINK("https://creighton-primo.hosted.exlibrisgroup.com/primo-explore/search?tab=default_tab&amp;search_scope=EVERYTHING&amp;vid=01CRU&amp;lang=en_US&amp;offset=0&amp;query=any,contains,991003610049702656","Catalog Record")</f>
        <v>Catalog Record</v>
      </c>
      <c r="AT862" s="6" t="str">
        <f>HYPERLINK("http://www.worldcat.org/oclc/1192577","WorldCat Record")</f>
        <v>WorldCat Record</v>
      </c>
      <c r="AU862" s="3" t="s">
        <v>10934</v>
      </c>
      <c r="AV862" s="3" t="s">
        <v>10935</v>
      </c>
      <c r="AW862" s="3" t="s">
        <v>10936</v>
      </c>
      <c r="AX862" s="3" t="s">
        <v>10936</v>
      </c>
      <c r="AY862" s="3" t="s">
        <v>10937</v>
      </c>
      <c r="AZ862" s="3" t="s">
        <v>75</v>
      </c>
      <c r="BC862" s="3" t="s">
        <v>10938</v>
      </c>
      <c r="BD862" s="3" t="s">
        <v>10939</v>
      </c>
    </row>
    <row r="863" spans="1:56" ht="39" customHeight="1" x14ac:dyDescent="0.25">
      <c r="A863" s="7" t="s">
        <v>58</v>
      </c>
      <c r="B863" s="2" t="s">
        <v>10940</v>
      </c>
      <c r="C863" s="2" t="s">
        <v>10941</v>
      </c>
      <c r="D863" s="2" t="s">
        <v>10942</v>
      </c>
      <c r="F863" s="3" t="s">
        <v>58</v>
      </c>
      <c r="G863" s="3" t="s">
        <v>59</v>
      </c>
      <c r="H863" s="3" t="s">
        <v>58</v>
      </c>
      <c r="I863" s="3" t="s">
        <v>58</v>
      </c>
      <c r="J863" s="3" t="s">
        <v>60</v>
      </c>
      <c r="K863" s="2" t="s">
        <v>10943</v>
      </c>
      <c r="L863" s="2" t="s">
        <v>10944</v>
      </c>
      <c r="M863" s="3" t="s">
        <v>1723</v>
      </c>
      <c r="O863" s="3" t="s">
        <v>65</v>
      </c>
      <c r="P863" s="3" t="s">
        <v>66</v>
      </c>
      <c r="R863" s="3" t="s">
        <v>68</v>
      </c>
      <c r="S863" s="4">
        <v>8</v>
      </c>
      <c r="T863" s="4">
        <v>8</v>
      </c>
      <c r="U863" s="5" t="s">
        <v>10945</v>
      </c>
      <c r="V863" s="5" t="s">
        <v>10945</v>
      </c>
      <c r="W863" s="5" t="s">
        <v>10946</v>
      </c>
      <c r="X863" s="5" t="s">
        <v>10946</v>
      </c>
      <c r="Y863" s="4">
        <v>406</v>
      </c>
      <c r="Z863" s="4">
        <v>316</v>
      </c>
      <c r="AA863" s="4">
        <v>349</v>
      </c>
      <c r="AB863" s="4">
        <v>1</v>
      </c>
      <c r="AC863" s="4">
        <v>1</v>
      </c>
      <c r="AD863" s="4">
        <v>19</v>
      </c>
      <c r="AE863" s="4">
        <v>20</v>
      </c>
      <c r="AF863" s="4">
        <v>7</v>
      </c>
      <c r="AG863" s="4">
        <v>8</v>
      </c>
      <c r="AH863" s="4">
        <v>5</v>
      </c>
      <c r="AI863" s="4">
        <v>5</v>
      </c>
      <c r="AJ863" s="4">
        <v>12</v>
      </c>
      <c r="AK863" s="4">
        <v>13</v>
      </c>
      <c r="AL863" s="4">
        <v>0</v>
      </c>
      <c r="AM863" s="4">
        <v>0</v>
      </c>
      <c r="AN863" s="4">
        <v>0</v>
      </c>
      <c r="AO863" s="4">
        <v>0</v>
      </c>
      <c r="AP863" s="3" t="s">
        <v>58</v>
      </c>
      <c r="AQ863" s="3" t="s">
        <v>58</v>
      </c>
      <c r="AS863" s="6" t="str">
        <f>HYPERLINK("https://creighton-primo.hosted.exlibrisgroup.com/primo-explore/search?tab=default_tab&amp;search_scope=EVERYTHING&amp;vid=01CRU&amp;lang=en_US&amp;offset=0&amp;query=any,contains,991004001099702656","Catalog Record")</f>
        <v>Catalog Record</v>
      </c>
      <c r="AT863" s="6" t="str">
        <f>HYPERLINK("http://www.worldcat.org/oclc/45610371","WorldCat Record")</f>
        <v>WorldCat Record</v>
      </c>
      <c r="AU863" s="3" t="s">
        <v>10947</v>
      </c>
      <c r="AV863" s="3" t="s">
        <v>10948</v>
      </c>
      <c r="AW863" s="3" t="s">
        <v>10949</v>
      </c>
      <c r="AX863" s="3" t="s">
        <v>10949</v>
      </c>
      <c r="AY863" s="3" t="s">
        <v>10950</v>
      </c>
      <c r="AZ863" s="3" t="s">
        <v>75</v>
      </c>
      <c r="BB863" s="3" t="s">
        <v>10951</v>
      </c>
      <c r="BC863" s="3" t="s">
        <v>10952</v>
      </c>
      <c r="BD863" s="3" t="s">
        <v>10953</v>
      </c>
    </row>
    <row r="864" spans="1:56" ht="39" customHeight="1" x14ac:dyDescent="0.25">
      <c r="A864" s="7" t="s">
        <v>58</v>
      </c>
      <c r="B864" s="2" t="s">
        <v>10954</v>
      </c>
      <c r="C864" s="2" t="s">
        <v>10955</v>
      </c>
      <c r="D864" s="2" t="s">
        <v>10956</v>
      </c>
      <c r="F864" s="3" t="s">
        <v>58</v>
      </c>
      <c r="G864" s="3" t="s">
        <v>59</v>
      </c>
      <c r="H864" s="3" t="s">
        <v>58</v>
      </c>
      <c r="I864" s="3" t="s">
        <v>58</v>
      </c>
      <c r="J864" s="3" t="s">
        <v>60</v>
      </c>
      <c r="K864" s="2" t="s">
        <v>10957</v>
      </c>
      <c r="L864" s="2" t="s">
        <v>10958</v>
      </c>
      <c r="M864" s="3" t="s">
        <v>871</v>
      </c>
      <c r="O864" s="3" t="s">
        <v>65</v>
      </c>
      <c r="P864" s="3" t="s">
        <v>186</v>
      </c>
      <c r="R864" s="3" t="s">
        <v>68</v>
      </c>
      <c r="S864" s="4">
        <v>3</v>
      </c>
      <c r="T864" s="4">
        <v>3</v>
      </c>
      <c r="U864" s="5" t="s">
        <v>10959</v>
      </c>
      <c r="V864" s="5" t="s">
        <v>10959</v>
      </c>
      <c r="W864" s="5" t="s">
        <v>10960</v>
      </c>
      <c r="X864" s="5" t="s">
        <v>10960</v>
      </c>
      <c r="Y864" s="4">
        <v>413</v>
      </c>
      <c r="Z864" s="4">
        <v>388</v>
      </c>
      <c r="AA864" s="4">
        <v>410</v>
      </c>
      <c r="AB864" s="4">
        <v>3</v>
      </c>
      <c r="AC864" s="4">
        <v>3</v>
      </c>
      <c r="AD864" s="4">
        <v>28</v>
      </c>
      <c r="AE864" s="4">
        <v>29</v>
      </c>
      <c r="AF864" s="4">
        <v>9</v>
      </c>
      <c r="AG864" s="4">
        <v>9</v>
      </c>
      <c r="AH864" s="4">
        <v>7</v>
      </c>
      <c r="AI864" s="4">
        <v>7</v>
      </c>
      <c r="AJ864" s="4">
        <v>19</v>
      </c>
      <c r="AK864" s="4">
        <v>20</v>
      </c>
      <c r="AL864" s="4">
        <v>2</v>
      </c>
      <c r="AM864" s="4">
        <v>2</v>
      </c>
      <c r="AN864" s="4">
        <v>0</v>
      </c>
      <c r="AO864" s="4">
        <v>0</v>
      </c>
      <c r="AP864" s="3" t="s">
        <v>58</v>
      </c>
      <c r="AQ864" s="3" t="s">
        <v>58</v>
      </c>
      <c r="AS864" s="6" t="str">
        <f>HYPERLINK("https://creighton-primo.hosted.exlibrisgroup.com/primo-explore/search?tab=default_tab&amp;search_scope=EVERYTHING&amp;vid=01CRU&amp;lang=en_US&amp;offset=0&amp;query=any,contains,991002640639702656","Catalog Record")</f>
        <v>Catalog Record</v>
      </c>
      <c r="AT864" s="6" t="str">
        <f>HYPERLINK("http://www.worldcat.org/oclc/384221","WorldCat Record")</f>
        <v>WorldCat Record</v>
      </c>
      <c r="AU864" s="3" t="s">
        <v>10961</v>
      </c>
      <c r="AV864" s="3" t="s">
        <v>10962</v>
      </c>
      <c r="AW864" s="3" t="s">
        <v>10963</v>
      </c>
      <c r="AX864" s="3" t="s">
        <v>10963</v>
      </c>
      <c r="AY864" s="3" t="s">
        <v>10964</v>
      </c>
      <c r="AZ864" s="3" t="s">
        <v>75</v>
      </c>
      <c r="BC864" s="3" t="s">
        <v>10965</v>
      </c>
      <c r="BD864" s="3" t="s">
        <v>10966</v>
      </c>
    </row>
    <row r="865" spans="1:56" ht="39" customHeight="1" x14ac:dyDescent="0.25">
      <c r="A865" s="7" t="s">
        <v>58</v>
      </c>
      <c r="B865" s="2" t="s">
        <v>10967</v>
      </c>
      <c r="C865" s="2" t="s">
        <v>10968</v>
      </c>
      <c r="D865" s="2" t="s">
        <v>10969</v>
      </c>
      <c r="F865" s="3" t="s">
        <v>58</v>
      </c>
      <c r="G865" s="3" t="s">
        <v>59</v>
      </c>
      <c r="H865" s="3" t="s">
        <v>58</v>
      </c>
      <c r="I865" s="3" t="s">
        <v>58</v>
      </c>
      <c r="J865" s="3" t="s">
        <v>60</v>
      </c>
      <c r="K865" s="2" t="s">
        <v>10970</v>
      </c>
      <c r="L865" s="2" t="s">
        <v>10971</v>
      </c>
      <c r="M865" s="3" t="s">
        <v>1150</v>
      </c>
      <c r="O865" s="3" t="s">
        <v>65</v>
      </c>
      <c r="P865" s="3" t="s">
        <v>1246</v>
      </c>
      <c r="R865" s="3" t="s">
        <v>68</v>
      </c>
      <c r="S865" s="4">
        <v>6</v>
      </c>
      <c r="T865" s="4">
        <v>6</v>
      </c>
      <c r="U865" s="5" t="s">
        <v>8573</v>
      </c>
      <c r="V865" s="5" t="s">
        <v>8573</v>
      </c>
      <c r="W865" s="5" t="s">
        <v>10972</v>
      </c>
      <c r="X865" s="5" t="s">
        <v>10972</v>
      </c>
      <c r="Y865" s="4">
        <v>95</v>
      </c>
      <c r="Z865" s="4">
        <v>88</v>
      </c>
      <c r="AA865" s="4">
        <v>385</v>
      </c>
      <c r="AB865" s="4">
        <v>1</v>
      </c>
      <c r="AC865" s="4">
        <v>3</v>
      </c>
      <c r="AD865" s="4">
        <v>1</v>
      </c>
      <c r="AE865" s="4">
        <v>7</v>
      </c>
      <c r="AF865" s="4">
        <v>0</v>
      </c>
      <c r="AG865" s="4">
        <v>3</v>
      </c>
      <c r="AH865" s="4">
        <v>0</v>
      </c>
      <c r="AI865" s="4">
        <v>1</v>
      </c>
      <c r="AJ865" s="4">
        <v>1</v>
      </c>
      <c r="AK865" s="4">
        <v>3</v>
      </c>
      <c r="AL865" s="4">
        <v>0</v>
      </c>
      <c r="AM865" s="4">
        <v>2</v>
      </c>
      <c r="AN865" s="4">
        <v>0</v>
      </c>
      <c r="AO865" s="4">
        <v>0</v>
      </c>
      <c r="AP865" s="3" t="s">
        <v>58</v>
      </c>
      <c r="AQ865" s="3" t="s">
        <v>58</v>
      </c>
      <c r="AS865" s="6" t="str">
        <f>HYPERLINK("https://creighton-primo.hosted.exlibrisgroup.com/primo-explore/search?tab=default_tab&amp;search_scope=EVERYTHING&amp;vid=01CRU&amp;lang=en_US&amp;offset=0&amp;query=any,contains,991002721339702656","Catalog Record")</f>
        <v>Catalog Record</v>
      </c>
      <c r="AT865" s="6" t="str">
        <f>HYPERLINK("http://www.worldcat.org/oclc/35681621","WorldCat Record")</f>
        <v>WorldCat Record</v>
      </c>
      <c r="AU865" s="3" t="s">
        <v>10973</v>
      </c>
      <c r="AV865" s="3" t="s">
        <v>10974</v>
      </c>
      <c r="AW865" s="3" t="s">
        <v>10975</v>
      </c>
      <c r="AX865" s="3" t="s">
        <v>10975</v>
      </c>
      <c r="AY865" s="3" t="s">
        <v>10976</v>
      </c>
      <c r="AZ865" s="3" t="s">
        <v>75</v>
      </c>
      <c r="BB865" s="3" t="s">
        <v>10977</v>
      </c>
      <c r="BC865" s="3" t="s">
        <v>10978</v>
      </c>
      <c r="BD865" s="3" t="s">
        <v>10979</v>
      </c>
    </row>
    <row r="866" spans="1:56" ht="39" customHeight="1" x14ac:dyDescent="0.25">
      <c r="A866" s="7" t="s">
        <v>58</v>
      </c>
      <c r="B866" s="2" t="s">
        <v>10980</v>
      </c>
      <c r="C866" s="2" t="s">
        <v>10981</v>
      </c>
      <c r="D866" s="2" t="s">
        <v>10982</v>
      </c>
      <c r="F866" s="3" t="s">
        <v>58</v>
      </c>
      <c r="G866" s="3" t="s">
        <v>59</v>
      </c>
      <c r="H866" s="3" t="s">
        <v>58</v>
      </c>
      <c r="I866" s="3" t="s">
        <v>58</v>
      </c>
      <c r="J866" s="3" t="s">
        <v>60</v>
      </c>
      <c r="L866" s="2" t="s">
        <v>10983</v>
      </c>
      <c r="M866" s="3" t="s">
        <v>1150</v>
      </c>
      <c r="O866" s="3" t="s">
        <v>65</v>
      </c>
      <c r="P866" s="3" t="s">
        <v>66</v>
      </c>
      <c r="R866" s="3" t="s">
        <v>68</v>
      </c>
      <c r="S866" s="4">
        <v>3</v>
      </c>
      <c r="T866" s="4">
        <v>3</v>
      </c>
      <c r="U866" s="5" t="s">
        <v>10984</v>
      </c>
      <c r="V866" s="5" t="s">
        <v>10984</v>
      </c>
      <c r="W866" s="5" t="s">
        <v>10985</v>
      </c>
      <c r="X866" s="5" t="s">
        <v>10985</v>
      </c>
      <c r="Y866" s="4">
        <v>222</v>
      </c>
      <c r="Z866" s="4">
        <v>161</v>
      </c>
      <c r="AA866" s="4">
        <v>592</v>
      </c>
      <c r="AB866" s="4">
        <v>2</v>
      </c>
      <c r="AC866" s="4">
        <v>3</v>
      </c>
      <c r="AD866" s="4">
        <v>13</v>
      </c>
      <c r="AE866" s="4">
        <v>20</v>
      </c>
      <c r="AF866" s="4">
        <v>2</v>
      </c>
      <c r="AG866" s="4">
        <v>7</v>
      </c>
      <c r="AH866" s="4">
        <v>6</v>
      </c>
      <c r="AI866" s="4">
        <v>7</v>
      </c>
      <c r="AJ866" s="4">
        <v>7</v>
      </c>
      <c r="AK866" s="4">
        <v>9</v>
      </c>
      <c r="AL866" s="4">
        <v>1</v>
      </c>
      <c r="AM866" s="4">
        <v>2</v>
      </c>
      <c r="AN866" s="4">
        <v>0</v>
      </c>
      <c r="AO866" s="4">
        <v>0</v>
      </c>
      <c r="AP866" s="3" t="s">
        <v>58</v>
      </c>
      <c r="AQ866" s="3" t="s">
        <v>58</v>
      </c>
      <c r="AS866" s="6" t="str">
        <f>HYPERLINK("https://creighton-primo.hosted.exlibrisgroup.com/primo-explore/search?tab=default_tab&amp;search_scope=EVERYTHING&amp;vid=01CRU&amp;lang=en_US&amp;offset=0&amp;query=any,contains,991002660099702656","Catalog Record")</f>
        <v>Catalog Record</v>
      </c>
      <c r="AT866" s="6" t="str">
        <f>HYPERLINK("http://www.worldcat.org/oclc/34772114","WorldCat Record")</f>
        <v>WorldCat Record</v>
      </c>
      <c r="AU866" s="3" t="s">
        <v>10986</v>
      </c>
      <c r="AV866" s="3" t="s">
        <v>10987</v>
      </c>
      <c r="AW866" s="3" t="s">
        <v>10988</v>
      </c>
      <c r="AX866" s="3" t="s">
        <v>10988</v>
      </c>
      <c r="AY866" s="3" t="s">
        <v>10989</v>
      </c>
      <c r="AZ866" s="3" t="s">
        <v>75</v>
      </c>
      <c r="BB866" s="3" t="s">
        <v>10990</v>
      </c>
      <c r="BC866" s="3" t="s">
        <v>10991</v>
      </c>
      <c r="BD866" s="3" t="s">
        <v>10992</v>
      </c>
    </row>
    <row r="867" spans="1:56" ht="39" customHeight="1" x14ac:dyDescent="0.25">
      <c r="A867" s="7" t="s">
        <v>58</v>
      </c>
      <c r="B867" s="2" t="s">
        <v>10993</v>
      </c>
      <c r="C867" s="2" t="s">
        <v>10994</v>
      </c>
      <c r="D867" s="2" t="s">
        <v>10995</v>
      </c>
      <c r="F867" s="3" t="s">
        <v>58</v>
      </c>
      <c r="G867" s="3" t="s">
        <v>59</v>
      </c>
      <c r="H867" s="3" t="s">
        <v>58</v>
      </c>
      <c r="I867" s="3" t="s">
        <v>58</v>
      </c>
      <c r="J867" s="3" t="s">
        <v>60</v>
      </c>
      <c r="K867" s="2" t="s">
        <v>10996</v>
      </c>
      <c r="L867" s="2" t="s">
        <v>10997</v>
      </c>
      <c r="M867" s="3" t="s">
        <v>759</v>
      </c>
      <c r="O867" s="3" t="s">
        <v>65</v>
      </c>
      <c r="P867" s="3" t="s">
        <v>186</v>
      </c>
      <c r="R867" s="3" t="s">
        <v>68</v>
      </c>
      <c r="S867" s="4">
        <v>9</v>
      </c>
      <c r="T867" s="4">
        <v>9</v>
      </c>
      <c r="U867" s="5" t="s">
        <v>10998</v>
      </c>
      <c r="V867" s="5" t="s">
        <v>10998</v>
      </c>
      <c r="W867" s="5" t="s">
        <v>4149</v>
      </c>
      <c r="X867" s="5" t="s">
        <v>4149</v>
      </c>
      <c r="Y867" s="4">
        <v>262</v>
      </c>
      <c r="Z867" s="4">
        <v>225</v>
      </c>
      <c r="AA867" s="4">
        <v>277</v>
      </c>
      <c r="AB867" s="4">
        <v>1</v>
      </c>
      <c r="AC867" s="4">
        <v>2</v>
      </c>
      <c r="AD867" s="4">
        <v>17</v>
      </c>
      <c r="AE867" s="4">
        <v>21</v>
      </c>
      <c r="AF867" s="4">
        <v>8</v>
      </c>
      <c r="AG867" s="4">
        <v>10</v>
      </c>
      <c r="AH867" s="4">
        <v>4</v>
      </c>
      <c r="AI867" s="4">
        <v>4</v>
      </c>
      <c r="AJ867" s="4">
        <v>10</v>
      </c>
      <c r="AK867" s="4">
        <v>12</v>
      </c>
      <c r="AL867" s="4">
        <v>0</v>
      </c>
      <c r="AM867" s="4">
        <v>1</v>
      </c>
      <c r="AN867" s="4">
        <v>0</v>
      </c>
      <c r="AO867" s="4">
        <v>0</v>
      </c>
      <c r="AP867" s="3" t="s">
        <v>58</v>
      </c>
      <c r="AQ867" s="3" t="s">
        <v>58</v>
      </c>
      <c r="AS867" s="6" t="str">
        <f>HYPERLINK("https://creighton-primo.hosted.exlibrisgroup.com/primo-explore/search?tab=default_tab&amp;search_scope=EVERYTHING&amp;vid=01CRU&amp;lang=en_US&amp;offset=0&amp;query=any,contains,991001382019702656","Catalog Record")</f>
        <v>Catalog Record</v>
      </c>
      <c r="AT867" s="6" t="str">
        <f>HYPERLINK("http://www.worldcat.org/oclc/18684293","WorldCat Record")</f>
        <v>WorldCat Record</v>
      </c>
      <c r="AU867" s="3" t="s">
        <v>10999</v>
      </c>
      <c r="AV867" s="3" t="s">
        <v>11000</v>
      </c>
      <c r="AW867" s="3" t="s">
        <v>11001</v>
      </c>
      <c r="AX867" s="3" t="s">
        <v>11001</v>
      </c>
      <c r="AY867" s="3" t="s">
        <v>11002</v>
      </c>
      <c r="AZ867" s="3" t="s">
        <v>75</v>
      </c>
      <c r="BB867" s="3" t="s">
        <v>11003</v>
      </c>
      <c r="BC867" s="3" t="s">
        <v>11004</v>
      </c>
      <c r="BD867" s="3" t="s">
        <v>11005</v>
      </c>
    </row>
    <row r="868" spans="1:56" ht="39" customHeight="1" x14ac:dyDescent="0.25">
      <c r="A868" s="7" t="s">
        <v>58</v>
      </c>
      <c r="B868" s="2" t="s">
        <v>11006</v>
      </c>
      <c r="C868" s="2" t="s">
        <v>11007</v>
      </c>
      <c r="D868" s="2" t="s">
        <v>11008</v>
      </c>
      <c r="F868" s="3" t="s">
        <v>58</v>
      </c>
      <c r="G868" s="3" t="s">
        <v>59</v>
      </c>
      <c r="H868" s="3" t="s">
        <v>58</v>
      </c>
      <c r="I868" s="3" t="s">
        <v>58</v>
      </c>
      <c r="J868" s="3" t="s">
        <v>60</v>
      </c>
      <c r="K868" s="2" t="s">
        <v>11009</v>
      </c>
      <c r="L868" s="2" t="s">
        <v>11010</v>
      </c>
      <c r="M868" s="3" t="s">
        <v>953</v>
      </c>
      <c r="O868" s="3" t="s">
        <v>65</v>
      </c>
      <c r="P868" s="3" t="s">
        <v>186</v>
      </c>
      <c r="R868" s="3" t="s">
        <v>68</v>
      </c>
      <c r="S868" s="4">
        <v>4</v>
      </c>
      <c r="T868" s="4">
        <v>4</v>
      </c>
      <c r="U868" s="5" t="s">
        <v>11011</v>
      </c>
      <c r="V868" s="5" t="s">
        <v>11011</v>
      </c>
      <c r="W868" s="5" t="s">
        <v>70</v>
      </c>
      <c r="X868" s="5" t="s">
        <v>70</v>
      </c>
      <c r="Y868" s="4">
        <v>927</v>
      </c>
      <c r="Z868" s="4">
        <v>875</v>
      </c>
      <c r="AA868" s="4">
        <v>886</v>
      </c>
      <c r="AB868" s="4">
        <v>8</v>
      </c>
      <c r="AC868" s="4">
        <v>8</v>
      </c>
      <c r="AD868" s="4">
        <v>44</v>
      </c>
      <c r="AE868" s="4">
        <v>45</v>
      </c>
      <c r="AF868" s="4">
        <v>17</v>
      </c>
      <c r="AG868" s="4">
        <v>18</v>
      </c>
      <c r="AH868" s="4">
        <v>9</v>
      </c>
      <c r="AI868" s="4">
        <v>9</v>
      </c>
      <c r="AJ868" s="4">
        <v>23</v>
      </c>
      <c r="AK868" s="4">
        <v>23</v>
      </c>
      <c r="AL868" s="4">
        <v>7</v>
      </c>
      <c r="AM868" s="4">
        <v>7</v>
      </c>
      <c r="AN868" s="4">
        <v>0</v>
      </c>
      <c r="AO868" s="4">
        <v>0</v>
      </c>
      <c r="AP868" s="3" t="s">
        <v>58</v>
      </c>
      <c r="AQ868" s="3" t="s">
        <v>58</v>
      </c>
      <c r="AR868" s="6" t="str">
        <f>HYPERLINK("http://catalog.hathitrust.org/Record/001415037","HathiTrust Record")</f>
        <v>HathiTrust Record</v>
      </c>
      <c r="AS868" s="6" t="str">
        <f>HYPERLINK("https://creighton-primo.hosted.exlibrisgroup.com/primo-explore/search?tab=default_tab&amp;search_scope=EVERYTHING&amp;vid=01CRU&amp;lang=en_US&amp;offset=0&amp;query=any,contains,991002640489702656","Catalog Record")</f>
        <v>Catalog Record</v>
      </c>
      <c r="AT868" s="6" t="str">
        <f>HYPERLINK("http://www.worldcat.org/oclc/384145","WorldCat Record")</f>
        <v>WorldCat Record</v>
      </c>
      <c r="AU868" s="3" t="s">
        <v>11012</v>
      </c>
      <c r="AV868" s="3" t="s">
        <v>11013</v>
      </c>
      <c r="AW868" s="3" t="s">
        <v>11014</v>
      </c>
      <c r="AX868" s="3" t="s">
        <v>11014</v>
      </c>
      <c r="AY868" s="3" t="s">
        <v>11015</v>
      </c>
      <c r="AZ868" s="3" t="s">
        <v>75</v>
      </c>
      <c r="BC868" s="3" t="s">
        <v>11016</v>
      </c>
      <c r="BD868" s="3" t="s">
        <v>11017</v>
      </c>
    </row>
    <row r="869" spans="1:56" ht="39" customHeight="1" x14ac:dyDescent="0.25">
      <c r="A869" s="7" t="s">
        <v>58</v>
      </c>
      <c r="B869" s="2" t="s">
        <v>11018</v>
      </c>
      <c r="C869" s="2" t="s">
        <v>11019</v>
      </c>
      <c r="D869" s="2" t="s">
        <v>11020</v>
      </c>
      <c r="F869" s="3" t="s">
        <v>58</v>
      </c>
      <c r="G869" s="3" t="s">
        <v>59</v>
      </c>
      <c r="H869" s="3" t="s">
        <v>58</v>
      </c>
      <c r="I869" s="3" t="s">
        <v>58</v>
      </c>
      <c r="J869" s="3" t="s">
        <v>60</v>
      </c>
      <c r="K869" s="2" t="s">
        <v>11021</v>
      </c>
      <c r="L869" s="2" t="s">
        <v>11022</v>
      </c>
      <c r="M869" s="3" t="s">
        <v>953</v>
      </c>
      <c r="N869" s="2" t="s">
        <v>2831</v>
      </c>
      <c r="O869" s="3" t="s">
        <v>65</v>
      </c>
      <c r="P869" s="3" t="s">
        <v>186</v>
      </c>
      <c r="R869" s="3" t="s">
        <v>68</v>
      </c>
      <c r="S869" s="4">
        <v>9</v>
      </c>
      <c r="T869" s="4">
        <v>9</v>
      </c>
      <c r="U869" s="5" t="s">
        <v>11023</v>
      </c>
      <c r="V869" s="5" t="s">
        <v>11023</v>
      </c>
      <c r="W869" s="5" t="s">
        <v>10960</v>
      </c>
      <c r="X869" s="5" t="s">
        <v>10960</v>
      </c>
      <c r="Y869" s="4">
        <v>617</v>
      </c>
      <c r="Z869" s="4">
        <v>564</v>
      </c>
      <c r="AA869" s="4">
        <v>724</v>
      </c>
      <c r="AB869" s="4">
        <v>5</v>
      </c>
      <c r="AC869" s="4">
        <v>5</v>
      </c>
      <c r="AD869" s="4">
        <v>35</v>
      </c>
      <c r="AE869" s="4">
        <v>40</v>
      </c>
      <c r="AF869" s="4">
        <v>14</v>
      </c>
      <c r="AG869" s="4">
        <v>15</v>
      </c>
      <c r="AH869" s="4">
        <v>8</v>
      </c>
      <c r="AI869" s="4">
        <v>10</v>
      </c>
      <c r="AJ869" s="4">
        <v>21</v>
      </c>
      <c r="AK869" s="4">
        <v>25</v>
      </c>
      <c r="AL869" s="4">
        <v>3</v>
      </c>
      <c r="AM869" s="4">
        <v>3</v>
      </c>
      <c r="AN869" s="4">
        <v>0</v>
      </c>
      <c r="AO869" s="4">
        <v>0</v>
      </c>
      <c r="AP869" s="3" t="s">
        <v>58</v>
      </c>
      <c r="AQ869" s="3" t="s">
        <v>132</v>
      </c>
      <c r="AR869" s="6" t="str">
        <f>HYPERLINK("http://catalog.hathitrust.org/Record/001415043","HathiTrust Record")</f>
        <v>HathiTrust Record</v>
      </c>
      <c r="AS869" s="6" t="str">
        <f>HYPERLINK("https://creighton-primo.hosted.exlibrisgroup.com/primo-explore/search?tab=default_tab&amp;search_scope=EVERYTHING&amp;vid=01CRU&amp;lang=en_US&amp;offset=0&amp;query=any,contains,991003900929702656","Catalog Record")</f>
        <v>Catalog Record</v>
      </c>
      <c r="AT869" s="6" t="str">
        <f>HYPERLINK("http://www.worldcat.org/oclc/1823929","WorldCat Record")</f>
        <v>WorldCat Record</v>
      </c>
      <c r="AU869" s="3" t="s">
        <v>11024</v>
      </c>
      <c r="AV869" s="3" t="s">
        <v>11025</v>
      </c>
      <c r="AW869" s="3" t="s">
        <v>11026</v>
      </c>
      <c r="AX869" s="3" t="s">
        <v>11026</v>
      </c>
      <c r="AY869" s="3" t="s">
        <v>11027</v>
      </c>
      <c r="AZ869" s="3" t="s">
        <v>75</v>
      </c>
      <c r="BC869" s="3" t="s">
        <v>11028</v>
      </c>
      <c r="BD869" s="3" t="s">
        <v>11029</v>
      </c>
    </row>
    <row r="870" spans="1:56" ht="39" customHeight="1" x14ac:dyDescent="0.25">
      <c r="A870" s="7" t="s">
        <v>58</v>
      </c>
      <c r="B870" s="2" t="s">
        <v>11030</v>
      </c>
      <c r="C870" s="2" t="s">
        <v>11031</v>
      </c>
      <c r="D870" s="2" t="s">
        <v>11032</v>
      </c>
      <c r="F870" s="3" t="s">
        <v>58</v>
      </c>
      <c r="G870" s="3" t="s">
        <v>59</v>
      </c>
      <c r="H870" s="3" t="s">
        <v>58</v>
      </c>
      <c r="I870" s="3" t="s">
        <v>58</v>
      </c>
      <c r="J870" s="3" t="s">
        <v>60</v>
      </c>
      <c r="K870" s="2" t="s">
        <v>11033</v>
      </c>
      <c r="L870" s="2" t="s">
        <v>11034</v>
      </c>
      <c r="M870" s="3" t="s">
        <v>289</v>
      </c>
      <c r="O870" s="3" t="s">
        <v>65</v>
      </c>
      <c r="P870" s="3" t="s">
        <v>186</v>
      </c>
      <c r="Q870" s="2" t="s">
        <v>11035</v>
      </c>
      <c r="R870" s="3" t="s">
        <v>68</v>
      </c>
      <c r="S870" s="4">
        <v>5</v>
      </c>
      <c r="T870" s="4">
        <v>5</v>
      </c>
      <c r="U870" s="5" t="s">
        <v>11036</v>
      </c>
      <c r="V870" s="5" t="s">
        <v>11036</v>
      </c>
      <c r="W870" s="5" t="s">
        <v>10960</v>
      </c>
      <c r="X870" s="5" t="s">
        <v>10960</v>
      </c>
      <c r="Y870" s="4">
        <v>335</v>
      </c>
      <c r="Z870" s="4">
        <v>256</v>
      </c>
      <c r="AA870" s="4">
        <v>261</v>
      </c>
      <c r="AB870" s="4">
        <v>3</v>
      </c>
      <c r="AC870" s="4">
        <v>3</v>
      </c>
      <c r="AD870" s="4">
        <v>18</v>
      </c>
      <c r="AE870" s="4">
        <v>18</v>
      </c>
      <c r="AF870" s="4">
        <v>3</v>
      </c>
      <c r="AG870" s="4">
        <v>3</v>
      </c>
      <c r="AH870" s="4">
        <v>5</v>
      </c>
      <c r="AI870" s="4">
        <v>5</v>
      </c>
      <c r="AJ870" s="4">
        <v>14</v>
      </c>
      <c r="AK870" s="4">
        <v>14</v>
      </c>
      <c r="AL870" s="4">
        <v>2</v>
      </c>
      <c r="AM870" s="4">
        <v>2</v>
      </c>
      <c r="AN870" s="4">
        <v>0</v>
      </c>
      <c r="AO870" s="4">
        <v>0</v>
      </c>
      <c r="AP870" s="3" t="s">
        <v>58</v>
      </c>
      <c r="AQ870" s="3" t="s">
        <v>58</v>
      </c>
      <c r="AS870" s="6" t="str">
        <f>HYPERLINK("https://creighton-primo.hosted.exlibrisgroup.com/primo-explore/search?tab=default_tab&amp;search_scope=EVERYTHING&amp;vid=01CRU&amp;lang=en_US&amp;offset=0&amp;query=any,contains,991005086419702656","Catalog Record")</f>
        <v>Catalog Record</v>
      </c>
      <c r="AT870" s="6" t="str">
        <f>HYPERLINK("http://www.worldcat.org/oclc/7196881","WorldCat Record")</f>
        <v>WorldCat Record</v>
      </c>
      <c r="AU870" s="3" t="s">
        <v>11037</v>
      </c>
      <c r="AV870" s="3" t="s">
        <v>11038</v>
      </c>
      <c r="AW870" s="3" t="s">
        <v>11039</v>
      </c>
      <c r="AX870" s="3" t="s">
        <v>11039</v>
      </c>
      <c r="AY870" s="3" t="s">
        <v>11040</v>
      </c>
      <c r="AZ870" s="3" t="s">
        <v>75</v>
      </c>
      <c r="BB870" s="3" t="s">
        <v>11041</v>
      </c>
      <c r="BC870" s="3" t="s">
        <v>11042</v>
      </c>
      <c r="BD870" s="3" t="s">
        <v>11043</v>
      </c>
    </row>
    <row r="871" spans="1:56" ht="39" customHeight="1" x14ac:dyDescent="0.25">
      <c r="A871" s="7" t="s">
        <v>58</v>
      </c>
      <c r="B871" s="2" t="s">
        <v>11044</v>
      </c>
      <c r="C871" s="2" t="s">
        <v>11045</v>
      </c>
      <c r="D871" s="2" t="s">
        <v>11046</v>
      </c>
      <c r="F871" s="3" t="s">
        <v>58</v>
      </c>
      <c r="G871" s="3" t="s">
        <v>59</v>
      </c>
      <c r="H871" s="3" t="s">
        <v>58</v>
      </c>
      <c r="I871" s="3" t="s">
        <v>58</v>
      </c>
      <c r="J871" s="3" t="s">
        <v>60</v>
      </c>
      <c r="L871" s="2" t="s">
        <v>11047</v>
      </c>
      <c r="M871" s="3" t="s">
        <v>462</v>
      </c>
      <c r="O871" s="3" t="s">
        <v>65</v>
      </c>
      <c r="P871" s="3" t="s">
        <v>66</v>
      </c>
      <c r="R871" s="3" t="s">
        <v>68</v>
      </c>
      <c r="S871" s="4">
        <v>7</v>
      </c>
      <c r="T871" s="4">
        <v>7</v>
      </c>
      <c r="U871" s="5" t="s">
        <v>11048</v>
      </c>
      <c r="V871" s="5" t="s">
        <v>11048</v>
      </c>
      <c r="W871" s="5" t="s">
        <v>10960</v>
      </c>
      <c r="X871" s="5" t="s">
        <v>10960</v>
      </c>
      <c r="Y871" s="4">
        <v>103</v>
      </c>
      <c r="Z871" s="4">
        <v>81</v>
      </c>
      <c r="AA871" s="4">
        <v>132</v>
      </c>
      <c r="AB871" s="4">
        <v>2</v>
      </c>
      <c r="AC871" s="4">
        <v>2</v>
      </c>
      <c r="AD871" s="4">
        <v>4</v>
      </c>
      <c r="AE871" s="4">
        <v>7</v>
      </c>
      <c r="AF871" s="4">
        <v>0</v>
      </c>
      <c r="AG871" s="4">
        <v>0</v>
      </c>
      <c r="AH871" s="4">
        <v>1</v>
      </c>
      <c r="AI871" s="4">
        <v>3</v>
      </c>
      <c r="AJ871" s="4">
        <v>3</v>
      </c>
      <c r="AK871" s="4">
        <v>5</v>
      </c>
      <c r="AL871" s="4">
        <v>1</v>
      </c>
      <c r="AM871" s="4">
        <v>1</v>
      </c>
      <c r="AN871" s="4">
        <v>0</v>
      </c>
      <c r="AO871" s="4">
        <v>0</v>
      </c>
      <c r="AP871" s="3" t="s">
        <v>58</v>
      </c>
      <c r="AQ871" s="3" t="s">
        <v>58</v>
      </c>
      <c r="AS871" s="6" t="str">
        <f>HYPERLINK("https://creighton-primo.hosted.exlibrisgroup.com/primo-explore/search?tab=default_tab&amp;search_scope=EVERYTHING&amp;vid=01CRU&amp;lang=en_US&amp;offset=0&amp;query=any,contains,991000524019702656","Catalog Record")</f>
        <v>Catalog Record</v>
      </c>
      <c r="AT871" s="6" t="str">
        <f>HYPERLINK("http://www.worldcat.org/oclc/12519549","WorldCat Record")</f>
        <v>WorldCat Record</v>
      </c>
      <c r="AU871" s="3" t="s">
        <v>11049</v>
      </c>
      <c r="AV871" s="3" t="s">
        <v>11050</v>
      </c>
      <c r="AW871" s="3" t="s">
        <v>11051</v>
      </c>
      <c r="AX871" s="3" t="s">
        <v>11051</v>
      </c>
      <c r="AY871" s="3" t="s">
        <v>11052</v>
      </c>
      <c r="AZ871" s="3" t="s">
        <v>75</v>
      </c>
      <c r="BB871" s="3" t="s">
        <v>11053</v>
      </c>
      <c r="BC871" s="3" t="s">
        <v>11054</v>
      </c>
      <c r="BD871" s="3" t="s">
        <v>11055</v>
      </c>
    </row>
    <row r="872" spans="1:56" ht="39" customHeight="1" x14ac:dyDescent="0.25">
      <c r="A872" s="7" t="s">
        <v>58</v>
      </c>
      <c r="B872" s="2" t="s">
        <v>11056</v>
      </c>
      <c r="C872" s="2" t="s">
        <v>11057</v>
      </c>
      <c r="D872" s="2" t="s">
        <v>11058</v>
      </c>
      <c r="F872" s="3" t="s">
        <v>58</v>
      </c>
      <c r="G872" s="3" t="s">
        <v>59</v>
      </c>
      <c r="H872" s="3" t="s">
        <v>58</v>
      </c>
      <c r="I872" s="3" t="s">
        <v>58</v>
      </c>
      <c r="J872" s="3" t="s">
        <v>60</v>
      </c>
      <c r="K872" s="2" t="s">
        <v>11059</v>
      </c>
      <c r="L872" s="2" t="s">
        <v>11060</v>
      </c>
      <c r="M872" s="3" t="s">
        <v>1449</v>
      </c>
      <c r="O872" s="3" t="s">
        <v>65</v>
      </c>
      <c r="P872" s="3" t="s">
        <v>954</v>
      </c>
      <c r="R872" s="3" t="s">
        <v>68</v>
      </c>
      <c r="S872" s="4">
        <v>5</v>
      </c>
      <c r="T872" s="4">
        <v>5</v>
      </c>
      <c r="U872" s="5" t="s">
        <v>11061</v>
      </c>
      <c r="V872" s="5" t="s">
        <v>11061</v>
      </c>
      <c r="W872" s="5" t="s">
        <v>10960</v>
      </c>
      <c r="X872" s="5" t="s">
        <v>10960</v>
      </c>
      <c r="Y872" s="4">
        <v>278</v>
      </c>
      <c r="Z872" s="4">
        <v>254</v>
      </c>
      <c r="AA872" s="4">
        <v>314</v>
      </c>
      <c r="AB872" s="4">
        <v>5</v>
      </c>
      <c r="AC872" s="4">
        <v>5</v>
      </c>
      <c r="AD872" s="4">
        <v>25</v>
      </c>
      <c r="AE872" s="4">
        <v>30</v>
      </c>
      <c r="AF872" s="4">
        <v>6</v>
      </c>
      <c r="AG872" s="4">
        <v>7</v>
      </c>
      <c r="AH872" s="4">
        <v>7</v>
      </c>
      <c r="AI872" s="4">
        <v>8</v>
      </c>
      <c r="AJ872" s="4">
        <v>17</v>
      </c>
      <c r="AK872" s="4">
        <v>22</v>
      </c>
      <c r="AL872" s="4">
        <v>2</v>
      </c>
      <c r="AM872" s="4">
        <v>2</v>
      </c>
      <c r="AN872" s="4">
        <v>0</v>
      </c>
      <c r="AO872" s="4">
        <v>0</v>
      </c>
      <c r="AP872" s="3" t="s">
        <v>58</v>
      </c>
      <c r="AQ872" s="3" t="s">
        <v>58</v>
      </c>
      <c r="AS872" s="6" t="str">
        <f>HYPERLINK("https://creighton-primo.hosted.exlibrisgroup.com/primo-explore/search?tab=default_tab&amp;search_scope=EVERYTHING&amp;vid=01CRU&amp;lang=en_US&amp;offset=0&amp;query=any,contains,991003795119702656","Catalog Record")</f>
        <v>Catalog Record</v>
      </c>
      <c r="AT872" s="6" t="str">
        <f>HYPERLINK("http://www.worldcat.org/oclc/1516290","WorldCat Record")</f>
        <v>WorldCat Record</v>
      </c>
      <c r="AU872" s="3" t="s">
        <v>11062</v>
      </c>
      <c r="AV872" s="3" t="s">
        <v>11063</v>
      </c>
      <c r="AW872" s="3" t="s">
        <v>11064</v>
      </c>
      <c r="AX872" s="3" t="s">
        <v>11064</v>
      </c>
      <c r="AY872" s="3" t="s">
        <v>11065</v>
      </c>
      <c r="AZ872" s="3" t="s">
        <v>75</v>
      </c>
      <c r="BC872" s="3" t="s">
        <v>11066</v>
      </c>
      <c r="BD872" s="3" t="s">
        <v>11067</v>
      </c>
    </row>
    <row r="873" spans="1:56" ht="39" customHeight="1" x14ac:dyDescent="0.25">
      <c r="A873" s="7" t="s">
        <v>58</v>
      </c>
      <c r="B873" s="2" t="s">
        <v>11068</v>
      </c>
      <c r="C873" s="2" t="s">
        <v>11069</v>
      </c>
      <c r="D873" s="2" t="s">
        <v>11070</v>
      </c>
      <c r="F873" s="3" t="s">
        <v>58</v>
      </c>
      <c r="G873" s="3" t="s">
        <v>59</v>
      </c>
      <c r="H873" s="3" t="s">
        <v>58</v>
      </c>
      <c r="I873" s="3" t="s">
        <v>58</v>
      </c>
      <c r="J873" s="3" t="s">
        <v>60</v>
      </c>
      <c r="K873" s="2" t="s">
        <v>10957</v>
      </c>
      <c r="L873" s="2" t="s">
        <v>11071</v>
      </c>
      <c r="M873" s="3" t="s">
        <v>98</v>
      </c>
      <c r="O873" s="3" t="s">
        <v>65</v>
      </c>
      <c r="P873" s="3" t="s">
        <v>66</v>
      </c>
      <c r="R873" s="3" t="s">
        <v>68</v>
      </c>
      <c r="S873" s="4">
        <v>3</v>
      </c>
      <c r="T873" s="4">
        <v>3</v>
      </c>
      <c r="U873" s="5" t="s">
        <v>11011</v>
      </c>
      <c r="V873" s="5" t="s">
        <v>11011</v>
      </c>
      <c r="W873" s="5" t="s">
        <v>10960</v>
      </c>
      <c r="X873" s="5" t="s">
        <v>10960</v>
      </c>
      <c r="Y873" s="4">
        <v>106</v>
      </c>
      <c r="Z873" s="4">
        <v>41</v>
      </c>
      <c r="AA873" s="4">
        <v>378</v>
      </c>
      <c r="AB873" s="4">
        <v>1</v>
      </c>
      <c r="AC873" s="4">
        <v>1</v>
      </c>
      <c r="AD873" s="4">
        <v>2</v>
      </c>
      <c r="AE873" s="4">
        <v>29</v>
      </c>
      <c r="AF873" s="4">
        <v>1</v>
      </c>
      <c r="AG873" s="4">
        <v>9</v>
      </c>
      <c r="AH873" s="4">
        <v>0</v>
      </c>
      <c r="AI873" s="4">
        <v>10</v>
      </c>
      <c r="AJ873" s="4">
        <v>2</v>
      </c>
      <c r="AK873" s="4">
        <v>20</v>
      </c>
      <c r="AL873" s="4">
        <v>0</v>
      </c>
      <c r="AM873" s="4">
        <v>0</v>
      </c>
      <c r="AN873" s="4">
        <v>0</v>
      </c>
      <c r="AO873" s="4">
        <v>0</v>
      </c>
      <c r="AP873" s="3" t="s">
        <v>58</v>
      </c>
      <c r="AQ873" s="3" t="s">
        <v>58</v>
      </c>
      <c r="AS873" s="6" t="str">
        <f>HYPERLINK("https://creighton-primo.hosted.exlibrisgroup.com/primo-explore/search?tab=default_tab&amp;search_scope=EVERYTHING&amp;vid=01CRU&amp;lang=en_US&amp;offset=0&amp;query=any,contains,991004627969702656","Catalog Record")</f>
        <v>Catalog Record</v>
      </c>
      <c r="AT873" s="6" t="str">
        <f>HYPERLINK("http://www.worldcat.org/oclc/4352754","WorldCat Record")</f>
        <v>WorldCat Record</v>
      </c>
      <c r="AU873" s="3" t="s">
        <v>11072</v>
      </c>
      <c r="AV873" s="3" t="s">
        <v>11073</v>
      </c>
      <c r="AW873" s="3" t="s">
        <v>11074</v>
      </c>
      <c r="AX873" s="3" t="s">
        <v>11074</v>
      </c>
      <c r="AY873" s="3" t="s">
        <v>11075</v>
      </c>
      <c r="AZ873" s="3" t="s">
        <v>75</v>
      </c>
      <c r="BC873" s="3" t="s">
        <v>11076</v>
      </c>
      <c r="BD873" s="3" t="s">
        <v>11077</v>
      </c>
    </row>
    <row r="874" spans="1:56" ht="39" customHeight="1" x14ac:dyDescent="0.25">
      <c r="A874" s="7" t="s">
        <v>58</v>
      </c>
      <c r="B874" s="2" t="s">
        <v>11078</v>
      </c>
      <c r="C874" s="2" t="s">
        <v>11079</v>
      </c>
      <c r="D874" s="2" t="s">
        <v>11080</v>
      </c>
      <c r="F874" s="3" t="s">
        <v>58</v>
      </c>
      <c r="G874" s="3" t="s">
        <v>59</v>
      </c>
      <c r="H874" s="3" t="s">
        <v>58</v>
      </c>
      <c r="I874" s="3" t="s">
        <v>58</v>
      </c>
      <c r="J874" s="3" t="s">
        <v>60</v>
      </c>
      <c r="K874" s="2" t="s">
        <v>11081</v>
      </c>
      <c r="L874" s="2" t="s">
        <v>11082</v>
      </c>
      <c r="M874" s="3" t="s">
        <v>303</v>
      </c>
      <c r="O874" s="3" t="s">
        <v>65</v>
      </c>
      <c r="P874" s="3" t="s">
        <v>158</v>
      </c>
      <c r="Q874" s="2" t="s">
        <v>11083</v>
      </c>
      <c r="R874" s="3" t="s">
        <v>68</v>
      </c>
      <c r="S874" s="4">
        <v>4</v>
      </c>
      <c r="T874" s="4">
        <v>4</v>
      </c>
      <c r="U874" s="5" t="s">
        <v>463</v>
      </c>
      <c r="V874" s="5" t="s">
        <v>463</v>
      </c>
      <c r="W874" s="5" t="s">
        <v>3505</v>
      </c>
      <c r="X874" s="5" t="s">
        <v>3505</v>
      </c>
      <c r="Y874" s="4">
        <v>436</v>
      </c>
      <c r="Z874" s="4">
        <v>338</v>
      </c>
      <c r="AA874" s="4">
        <v>389</v>
      </c>
      <c r="AB874" s="4">
        <v>3</v>
      </c>
      <c r="AC874" s="4">
        <v>3</v>
      </c>
      <c r="AD874" s="4">
        <v>31</v>
      </c>
      <c r="AE874" s="4">
        <v>31</v>
      </c>
      <c r="AF874" s="4">
        <v>11</v>
      </c>
      <c r="AG874" s="4">
        <v>11</v>
      </c>
      <c r="AH874" s="4">
        <v>7</v>
      </c>
      <c r="AI874" s="4">
        <v>7</v>
      </c>
      <c r="AJ874" s="4">
        <v>20</v>
      </c>
      <c r="AK874" s="4">
        <v>20</v>
      </c>
      <c r="AL874" s="4">
        <v>2</v>
      </c>
      <c r="AM874" s="4">
        <v>2</v>
      </c>
      <c r="AN874" s="4">
        <v>0</v>
      </c>
      <c r="AO874" s="4">
        <v>0</v>
      </c>
      <c r="AP874" s="3" t="s">
        <v>58</v>
      </c>
      <c r="AQ874" s="3" t="s">
        <v>132</v>
      </c>
      <c r="AR874" s="6" t="str">
        <f>HYPERLINK("http://catalog.hathitrust.org/Record/000172250","HathiTrust Record")</f>
        <v>HathiTrust Record</v>
      </c>
      <c r="AS874" s="6" t="str">
        <f>HYPERLINK("https://creighton-primo.hosted.exlibrisgroup.com/primo-explore/search?tab=default_tab&amp;search_scope=EVERYTHING&amp;vid=01CRU&amp;lang=en_US&amp;offset=0&amp;query=any,contains,991004233969702656","Catalog Record")</f>
        <v>Catalog Record</v>
      </c>
      <c r="AT874" s="6" t="str">
        <f>HYPERLINK("http://www.worldcat.org/oclc/2758314","WorldCat Record")</f>
        <v>WorldCat Record</v>
      </c>
      <c r="AU874" s="3" t="s">
        <v>11084</v>
      </c>
      <c r="AV874" s="3" t="s">
        <v>11085</v>
      </c>
      <c r="AW874" s="3" t="s">
        <v>11086</v>
      </c>
      <c r="AX874" s="3" t="s">
        <v>11086</v>
      </c>
      <c r="AY874" s="3" t="s">
        <v>11087</v>
      </c>
      <c r="AZ874" s="3" t="s">
        <v>75</v>
      </c>
      <c r="BB874" s="3" t="s">
        <v>11088</v>
      </c>
      <c r="BC874" s="3" t="s">
        <v>11089</v>
      </c>
      <c r="BD874" s="3" t="s">
        <v>11090</v>
      </c>
    </row>
    <row r="875" spans="1:56" ht="39" customHeight="1" x14ac:dyDescent="0.25">
      <c r="A875" s="7" t="s">
        <v>58</v>
      </c>
      <c r="B875" s="2" t="s">
        <v>11091</v>
      </c>
      <c r="C875" s="2" t="s">
        <v>11092</v>
      </c>
      <c r="D875" s="2" t="s">
        <v>11093</v>
      </c>
      <c r="F875" s="3" t="s">
        <v>58</v>
      </c>
      <c r="G875" s="3" t="s">
        <v>59</v>
      </c>
      <c r="H875" s="3" t="s">
        <v>58</v>
      </c>
      <c r="I875" s="3" t="s">
        <v>58</v>
      </c>
      <c r="J875" s="3" t="s">
        <v>60</v>
      </c>
      <c r="K875" s="2" t="s">
        <v>11094</v>
      </c>
      <c r="L875" s="2" t="s">
        <v>11095</v>
      </c>
      <c r="M875" s="3" t="s">
        <v>1302</v>
      </c>
      <c r="O875" s="3" t="s">
        <v>65</v>
      </c>
      <c r="P875" s="3" t="s">
        <v>66</v>
      </c>
      <c r="R875" s="3" t="s">
        <v>68</v>
      </c>
      <c r="S875" s="4">
        <v>5</v>
      </c>
      <c r="T875" s="4">
        <v>5</v>
      </c>
      <c r="U875" s="5" t="s">
        <v>11096</v>
      </c>
      <c r="V875" s="5" t="s">
        <v>11096</v>
      </c>
      <c r="W875" s="5" t="s">
        <v>11097</v>
      </c>
      <c r="X875" s="5" t="s">
        <v>11097</v>
      </c>
      <c r="Y875" s="4">
        <v>358</v>
      </c>
      <c r="Z875" s="4">
        <v>296</v>
      </c>
      <c r="AA875" s="4">
        <v>374</v>
      </c>
      <c r="AB875" s="4">
        <v>2</v>
      </c>
      <c r="AC875" s="4">
        <v>2</v>
      </c>
      <c r="AD875" s="4">
        <v>18</v>
      </c>
      <c r="AE875" s="4">
        <v>20</v>
      </c>
      <c r="AF875" s="4">
        <v>5</v>
      </c>
      <c r="AG875" s="4">
        <v>5</v>
      </c>
      <c r="AH875" s="4">
        <v>6</v>
      </c>
      <c r="AI875" s="4">
        <v>7</v>
      </c>
      <c r="AJ875" s="4">
        <v>12</v>
      </c>
      <c r="AK875" s="4">
        <v>13</v>
      </c>
      <c r="AL875" s="4">
        <v>1</v>
      </c>
      <c r="AM875" s="4">
        <v>1</v>
      </c>
      <c r="AN875" s="4">
        <v>0</v>
      </c>
      <c r="AO875" s="4">
        <v>0</v>
      </c>
      <c r="AP875" s="3" t="s">
        <v>58</v>
      </c>
      <c r="AQ875" s="3" t="s">
        <v>58</v>
      </c>
      <c r="AS875" s="6" t="str">
        <f>HYPERLINK("https://creighton-primo.hosted.exlibrisgroup.com/primo-explore/search?tab=default_tab&amp;search_scope=EVERYTHING&amp;vid=01CRU&amp;lang=en_US&amp;offset=0&amp;query=any,contains,991004165779702656","Catalog Record")</f>
        <v>Catalog Record</v>
      </c>
      <c r="AT875" s="6" t="str">
        <f>HYPERLINK("http://www.worldcat.org/oclc/47091970","WorldCat Record")</f>
        <v>WorldCat Record</v>
      </c>
      <c r="AU875" s="3" t="s">
        <v>11098</v>
      </c>
      <c r="AV875" s="3" t="s">
        <v>11099</v>
      </c>
      <c r="AW875" s="3" t="s">
        <v>11100</v>
      </c>
      <c r="AX875" s="3" t="s">
        <v>11100</v>
      </c>
      <c r="AY875" s="3" t="s">
        <v>11101</v>
      </c>
      <c r="AZ875" s="3" t="s">
        <v>75</v>
      </c>
      <c r="BB875" s="3" t="s">
        <v>11102</v>
      </c>
      <c r="BC875" s="3" t="s">
        <v>11103</v>
      </c>
      <c r="BD875" s="3" t="s">
        <v>11104</v>
      </c>
    </row>
    <row r="876" spans="1:56" ht="39" customHeight="1" x14ac:dyDescent="0.25">
      <c r="A876" s="7" t="s">
        <v>58</v>
      </c>
      <c r="B876" s="2" t="s">
        <v>11105</v>
      </c>
      <c r="C876" s="2" t="s">
        <v>11106</v>
      </c>
      <c r="D876" s="2" t="s">
        <v>11107</v>
      </c>
      <c r="F876" s="3" t="s">
        <v>58</v>
      </c>
      <c r="G876" s="3" t="s">
        <v>59</v>
      </c>
      <c r="H876" s="3" t="s">
        <v>58</v>
      </c>
      <c r="I876" s="3" t="s">
        <v>58</v>
      </c>
      <c r="J876" s="3" t="s">
        <v>60</v>
      </c>
      <c r="K876" s="2" t="s">
        <v>11108</v>
      </c>
      <c r="L876" s="2" t="s">
        <v>11109</v>
      </c>
      <c r="M876" s="3" t="s">
        <v>4503</v>
      </c>
      <c r="O876" s="3" t="s">
        <v>3973</v>
      </c>
      <c r="P876" s="3" t="s">
        <v>11110</v>
      </c>
      <c r="Q876" s="2" t="s">
        <v>11111</v>
      </c>
      <c r="R876" s="3" t="s">
        <v>68</v>
      </c>
      <c r="S876" s="4">
        <v>2</v>
      </c>
      <c r="T876" s="4">
        <v>2</v>
      </c>
      <c r="U876" s="5" t="s">
        <v>11112</v>
      </c>
      <c r="V876" s="5" t="s">
        <v>11112</v>
      </c>
      <c r="W876" s="5" t="s">
        <v>11113</v>
      </c>
      <c r="X876" s="5" t="s">
        <v>11113</v>
      </c>
      <c r="Y876" s="4">
        <v>239</v>
      </c>
      <c r="Z876" s="4">
        <v>202</v>
      </c>
      <c r="AA876" s="4">
        <v>207</v>
      </c>
      <c r="AB876" s="4">
        <v>2</v>
      </c>
      <c r="AC876" s="4">
        <v>2</v>
      </c>
      <c r="AD876" s="4">
        <v>13</v>
      </c>
      <c r="AE876" s="4">
        <v>13</v>
      </c>
      <c r="AF876" s="4">
        <v>7</v>
      </c>
      <c r="AG876" s="4">
        <v>7</v>
      </c>
      <c r="AH876" s="4">
        <v>1</v>
      </c>
      <c r="AI876" s="4">
        <v>1</v>
      </c>
      <c r="AJ876" s="4">
        <v>8</v>
      </c>
      <c r="AK876" s="4">
        <v>8</v>
      </c>
      <c r="AL876" s="4">
        <v>1</v>
      </c>
      <c r="AM876" s="4">
        <v>1</v>
      </c>
      <c r="AN876" s="4">
        <v>0</v>
      </c>
      <c r="AO876" s="4">
        <v>0</v>
      </c>
      <c r="AP876" s="3" t="s">
        <v>58</v>
      </c>
      <c r="AQ876" s="3" t="s">
        <v>132</v>
      </c>
      <c r="AR876" s="6" t="str">
        <f>HYPERLINK("http://catalog.hathitrust.org/Record/001931834","HathiTrust Record")</f>
        <v>HathiTrust Record</v>
      </c>
      <c r="AS876" s="6" t="str">
        <f>HYPERLINK("https://creighton-primo.hosted.exlibrisgroup.com/primo-explore/search?tab=default_tab&amp;search_scope=EVERYTHING&amp;vid=01CRU&amp;lang=en_US&amp;offset=0&amp;query=any,contains,991004509409702656","Catalog Record")</f>
        <v>Catalog Record</v>
      </c>
      <c r="AT876" s="6" t="str">
        <f>HYPERLINK("http://www.worldcat.org/oclc/904868","WorldCat Record")</f>
        <v>WorldCat Record</v>
      </c>
      <c r="AU876" s="3" t="s">
        <v>11114</v>
      </c>
      <c r="AV876" s="3" t="s">
        <v>11115</v>
      </c>
      <c r="AW876" s="3" t="s">
        <v>11116</v>
      </c>
      <c r="AX876" s="3" t="s">
        <v>11116</v>
      </c>
      <c r="AY876" s="3" t="s">
        <v>11117</v>
      </c>
      <c r="AZ876" s="3" t="s">
        <v>75</v>
      </c>
      <c r="BC876" s="3" t="s">
        <v>11118</v>
      </c>
      <c r="BD876" s="3" t="s">
        <v>11119</v>
      </c>
    </row>
    <row r="877" spans="1:56" ht="39" customHeight="1" x14ac:dyDescent="0.25">
      <c r="A877" s="7" t="s">
        <v>58</v>
      </c>
      <c r="B877" s="2" t="s">
        <v>11120</v>
      </c>
      <c r="C877" s="2" t="s">
        <v>11121</v>
      </c>
      <c r="D877" s="2" t="s">
        <v>11122</v>
      </c>
      <c r="F877" s="3" t="s">
        <v>58</v>
      </c>
      <c r="G877" s="3" t="s">
        <v>59</v>
      </c>
      <c r="H877" s="3" t="s">
        <v>58</v>
      </c>
      <c r="I877" s="3" t="s">
        <v>58</v>
      </c>
      <c r="J877" s="3" t="s">
        <v>60</v>
      </c>
      <c r="K877" s="2" t="s">
        <v>11123</v>
      </c>
      <c r="L877" s="2" t="s">
        <v>11124</v>
      </c>
      <c r="M877" s="3" t="s">
        <v>2231</v>
      </c>
      <c r="O877" s="3" t="s">
        <v>65</v>
      </c>
      <c r="P877" s="3" t="s">
        <v>954</v>
      </c>
      <c r="Q877" s="2" t="s">
        <v>11125</v>
      </c>
      <c r="R877" s="3" t="s">
        <v>68</v>
      </c>
      <c r="S877" s="4">
        <v>9</v>
      </c>
      <c r="T877" s="4">
        <v>9</v>
      </c>
      <c r="U877" s="5" t="s">
        <v>11126</v>
      </c>
      <c r="V877" s="5" t="s">
        <v>11126</v>
      </c>
      <c r="W877" s="5" t="s">
        <v>10960</v>
      </c>
      <c r="X877" s="5" t="s">
        <v>10960</v>
      </c>
      <c r="Y877" s="4">
        <v>367</v>
      </c>
      <c r="Z877" s="4">
        <v>289</v>
      </c>
      <c r="AA877" s="4">
        <v>334</v>
      </c>
      <c r="AB877" s="4">
        <v>3</v>
      </c>
      <c r="AC877" s="4">
        <v>4</v>
      </c>
      <c r="AD877" s="4">
        <v>23</v>
      </c>
      <c r="AE877" s="4">
        <v>25</v>
      </c>
      <c r="AF877" s="4">
        <v>9</v>
      </c>
      <c r="AG877" s="4">
        <v>10</v>
      </c>
      <c r="AH877" s="4">
        <v>4</v>
      </c>
      <c r="AI877" s="4">
        <v>5</v>
      </c>
      <c r="AJ877" s="4">
        <v>14</v>
      </c>
      <c r="AK877" s="4">
        <v>14</v>
      </c>
      <c r="AL877" s="4">
        <v>2</v>
      </c>
      <c r="AM877" s="4">
        <v>3</v>
      </c>
      <c r="AN877" s="4">
        <v>0</v>
      </c>
      <c r="AO877" s="4">
        <v>0</v>
      </c>
      <c r="AP877" s="3" t="s">
        <v>58</v>
      </c>
      <c r="AQ877" s="3" t="s">
        <v>58</v>
      </c>
      <c r="AS877" s="6" t="str">
        <f>HYPERLINK("https://creighton-primo.hosted.exlibrisgroup.com/primo-explore/search?tab=default_tab&amp;search_scope=EVERYTHING&amp;vid=01CRU&amp;lang=en_US&amp;offset=0&amp;query=any,contains,991002904069702656","Catalog Record")</f>
        <v>Catalog Record</v>
      </c>
      <c r="AT877" s="6" t="str">
        <f>HYPERLINK("http://www.worldcat.org/oclc/518612","WorldCat Record")</f>
        <v>WorldCat Record</v>
      </c>
      <c r="AU877" s="3" t="s">
        <v>11127</v>
      </c>
      <c r="AV877" s="3" t="s">
        <v>11128</v>
      </c>
      <c r="AW877" s="3" t="s">
        <v>11129</v>
      </c>
      <c r="AX877" s="3" t="s">
        <v>11129</v>
      </c>
      <c r="AY877" s="3" t="s">
        <v>11130</v>
      </c>
      <c r="AZ877" s="3" t="s">
        <v>75</v>
      </c>
      <c r="BC877" s="3" t="s">
        <v>11131</v>
      </c>
      <c r="BD877" s="3" t="s">
        <v>11132</v>
      </c>
    </row>
    <row r="878" spans="1:56" ht="39" customHeight="1" x14ac:dyDescent="0.25">
      <c r="A878" s="7" t="s">
        <v>58</v>
      </c>
      <c r="B878" s="2" t="s">
        <v>11133</v>
      </c>
      <c r="C878" s="2" t="s">
        <v>11134</v>
      </c>
      <c r="D878" s="2" t="s">
        <v>11135</v>
      </c>
      <c r="F878" s="3" t="s">
        <v>58</v>
      </c>
      <c r="G878" s="3" t="s">
        <v>59</v>
      </c>
      <c r="H878" s="3" t="s">
        <v>58</v>
      </c>
      <c r="I878" s="3" t="s">
        <v>58</v>
      </c>
      <c r="J878" s="3" t="s">
        <v>60</v>
      </c>
      <c r="K878" s="2" t="s">
        <v>11123</v>
      </c>
      <c r="L878" s="2" t="s">
        <v>11136</v>
      </c>
      <c r="M878" s="3" t="s">
        <v>6893</v>
      </c>
      <c r="N878" s="2" t="s">
        <v>11137</v>
      </c>
      <c r="O878" s="3" t="s">
        <v>3973</v>
      </c>
      <c r="P878" s="3" t="s">
        <v>954</v>
      </c>
      <c r="Q878" s="2" t="s">
        <v>11138</v>
      </c>
      <c r="R878" s="3" t="s">
        <v>68</v>
      </c>
      <c r="S878" s="4">
        <v>2</v>
      </c>
      <c r="T878" s="4">
        <v>2</v>
      </c>
      <c r="U878" s="5" t="s">
        <v>11112</v>
      </c>
      <c r="V878" s="5" t="s">
        <v>11112</v>
      </c>
      <c r="W878" s="5" t="s">
        <v>10960</v>
      </c>
      <c r="X878" s="5" t="s">
        <v>10960</v>
      </c>
      <c r="Y878" s="4">
        <v>267</v>
      </c>
      <c r="Z878" s="4">
        <v>227</v>
      </c>
      <c r="AA878" s="4">
        <v>235</v>
      </c>
      <c r="AB878" s="4">
        <v>1</v>
      </c>
      <c r="AC878" s="4">
        <v>1</v>
      </c>
      <c r="AD878" s="4">
        <v>10</v>
      </c>
      <c r="AE878" s="4">
        <v>10</v>
      </c>
      <c r="AF878" s="4">
        <v>5</v>
      </c>
      <c r="AG878" s="4">
        <v>5</v>
      </c>
      <c r="AH878" s="4">
        <v>0</v>
      </c>
      <c r="AI878" s="4">
        <v>0</v>
      </c>
      <c r="AJ878" s="4">
        <v>7</v>
      </c>
      <c r="AK878" s="4">
        <v>7</v>
      </c>
      <c r="AL878" s="4">
        <v>0</v>
      </c>
      <c r="AM878" s="4">
        <v>0</v>
      </c>
      <c r="AN878" s="4">
        <v>0</v>
      </c>
      <c r="AO878" s="4">
        <v>0</v>
      </c>
      <c r="AP878" s="3" t="s">
        <v>58</v>
      </c>
      <c r="AQ878" s="3" t="s">
        <v>132</v>
      </c>
      <c r="AR878" s="6" t="str">
        <f>HYPERLINK("http://catalog.hathitrust.org/Record/007887514","HathiTrust Record")</f>
        <v>HathiTrust Record</v>
      </c>
      <c r="AS878" s="6" t="str">
        <f>HYPERLINK("https://creighton-primo.hosted.exlibrisgroup.com/primo-explore/search?tab=default_tab&amp;search_scope=EVERYTHING&amp;vid=01CRU&amp;lang=en_US&amp;offset=0&amp;query=any,contains,991003647869702656","Catalog Record")</f>
        <v>Catalog Record</v>
      </c>
      <c r="AT878" s="6" t="str">
        <f>HYPERLINK("http://www.worldcat.org/oclc/1250131","WorldCat Record")</f>
        <v>WorldCat Record</v>
      </c>
      <c r="AU878" s="3" t="s">
        <v>11139</v>
      </c>
      <c r="AV878" s="3" t="s">
        <v>11140</v>
      </c>
      <c r="AW878" s="3" t="s">
        <v>11141</v>
      </c>
      <c r="AX878" s="3" t="s">
        <v>11141</v>
      </c>
      <c r="AY878" s="3" t="s">
        <v>11142</v>
      </c>
      <c r="AZ878" s="3" t="s">
        <v>75</v>
      </c>
      <c r="BC878" s="3" t="s">
        <v>11143</v>
      </c>
      <c r="BD878" s="3" t="s">
        <v>11144</v>
      </c>
    </row>
    <row r="879" spans="1:56" ht="39" customHeight="1" x14ac:dyDescent="0.25">
      <c r="A879" s="7" t="s">
        <v>58</v>
      </c>
      <c r="B879" s="2" t="s">
        <v>11145</v>
      </c>
      <c r="C879" s="2" t="s">
        <v>11146</v>
      </c>
      <c r="D879" s="2" t="s">
        <v>11147</v>
      </c>
      <c r="F879" s="3" t="s">
        <v>58</v>
      </c>
      <c r="G879" s="3" t="s">
        <v>59</v>
      </c>
      <c r="H879" s="3" t="s">
        <v>58</v>
      </c>
      <c r="I879" s="3" t="s">
        <v>58</v>
      </c>
      <c r="J879" s="3" t="s">
        <v>60</v>
      </c>
      <c r="K879" s="2" t="s">
        <v>11148</v>
      </c>
      <c r="L879" s="2" t="s">
        <v>11149</v>
      </c>
      <c r="M879" s="3" t="s">
        <v>3882</v>
      </c>
      <c r="O879" s="3" t="s">
        <v>65</v>
      </c>
      <c r="P879" s="3" t="s">
        <v>186</v>
      </c>
      <c r="R879" s="3" t="s">
        <v>68</v>
      </c>
      <c r="S879" s="4">
        <v>2</v>
      </c>
      <c r="T879" s="4">
        <v>2</v>
      </c>
      <c r="U879" s="5" t="s">
        <v>11112</v>
      </c>
      <c r="V879" s="5" t="s">
        <v>11112</v>
      </c>
      <c r="W879" s="5" t="s">
        <v>10960</v>
      </c>
      <c r="X879" s="5" t="s">
        <v>10960</v>
      </c>
      <c r="Y879" s="4">
        <v>165</v>
      </c>
      <c r="Z879" s="4">
        <v>157</v>
      </c>
      <c r="AA879" s="4">
        <v>163</v>
      </c>
      <c r="AB879" s="4">
        <v>4</v>
      </c>
      <c r="AC879" s="4">
        <v>4</v>
      </c>
      <c r="AD879" s="4">
        <v>19</v>
      </c>
      <c r="AE879" s="4">
        <v>19</v>
      </c>
      <c r="AF879" s="4">
        <v>3</v>
      </c>
      <c r="AG879" s="4">
        <v>3</v>
      </c>
      <c r="AH879" s="4">
        <v>5</v>
      </c>
      <c r="AI879" s="4">
        <v>5</v>
      </c>
      <c r="AJ879" s="4">
        <v>11</v>
      </c>
      <c r="AK879" s="4">
        <v>11</v>
      </c>
      <c r="AL879" s="4">
        <v>3</v>
      </c>
      <c r="AM879" s="4">
        <v>3</v>
      </c>
      <c r="AN879" s="4">
        <v>0</v>
      </c>
      <c r="AO879" s="4">
        <v>0</v>
      </c>
      <c r="AP879" s="3" t="s">
        <v>132</v>
      </c>
      <c r="AQ879" s="3" t="s">
        <v>58</v>
      </c>
      <c r="AR879" s="6" t="str">
        <f>HYPERLINK("http://catalog.hathitrust.org/Record/001415055","HathiTrust Record")</f>
        <v>HathiTrust Record</v>
      </c>
      <c r="AS879" s="6" t="str">
        <f>HYPERLINK("https://creighton-primo.hosted.exlibrisgroup.com/primo-explore/search?tab=default_tab&amp;search_scope=EVERYTHING&amp;vid=01CRU&amp;lang=en_US&amp;offset=0&amp;query=any,contains,991003643999702656","Catalog Record")</f>
        <v>Catalog Record</v>
      </c>
      <c r="AT879" s="6" t="str">
        <f>HYPERLINK("http://www.worldcat.org/oclc/1243380","WorldCat Record")</f>
        <v>WorldCat Record</v>
      </c>
      <c r="AU879" s="3" t="s">
        <v>11150</v>
      </c>
      <c r="AV879" s="3" t="s">
        <v>11151</v>
      </c>
      <c r="AW879" s="3" t="s">
        <v>11152</v>
      </c>
      <c r="AX879" s="3" t="s">
        <v>11152</v>
      </c>
      <c r="AY879" s="3" t="s">
        <v>11153</v>
      </c>
      <c r="AZ879" s="3" t="s">
        <v>75</v>
      </c>
      <c r="BC879" s="3" t="s">
        <v>11154</v>
      </c>
      <c r="BD879" s="3" t="s">
        <v>11155</v>
      </c>
    </row>
    <row r="880" spans="1:56" ht="39" customHeight="1" x14ac:dyDescent="0.25">
      <c r="A880" s="7" t="s">
        <v>58</v>
      </c>
      <c r="B880" s="2" t="s">
        <v>11156</v>
      </c>
      <c r="C880" s="2" t="s">
        <v>11157</v>
      </c>
      <c r="D880" s="2" t="s">
        <v>11158</v>
      </c>
      <c r="F880" s="3" t="s">
        <v>58</v>
      </c>
      <c r="G880" s="3" t="s">
        <v>59</v>
      </c>
      <c r="H880" s="3" t="s">
        <v>58</v>
      </c>
      <c r="I880" s="3" t="s">
        <v>58</v>
      </c>
      <c r="J880" s="3" t="s">
        <v>60</v>
      </c>
      <c r="K880" s="2" t="s">
        <v>11159</v>
      </c>
      <c r="L880" s="2" t="s">
        <v>11160</v>
      </c>
      <c r="M880" s="3" t="s">
        <v>1936</v>
      </c>
      <c r="N880" s="2" t="s">
        <v>11161</v>
      </c>
      <c r="O880" s="3" t="s">
        <v>65</v>
      </c>
      <c r="P880" s="3" t="s">
        <v>1358</v>
      </c>
      <c r="Q880" s="2" t="s">
        <v>11162</v>
      </c>
      <c r="R880" s="3" t="s">
        <v>68</v>
      </c>
      <c r="S880" s="4">
        <v>6</v>
      </c>
      <c r="T880" s="4">
        <v>6</v>
      </c>
      <c r="U880" s="5" t="s">
        <v>11163</v>
      </c>
      <c r="V880" s="5" t="s">
        <v>11163</v>
      </c>
      <c r="W880" s="5" t="s">
        <v>10960</v>
      </c>
      <c r="X880" s="5" t="s">
        <v>10960</v>
      </c>
      <c r="Y880" s="4">
        <v>67</v>
      </c>
      <c r="Z880" s="4">
        <v>65</v>
      </c>
      <c r="AA880" s="4">
        <v>92</v>
      </c>
      <c r="AB880" s="4">
        <v>2</v>
      </c>
      <c r="AC880" s="4">
        <v>2</v>
      </c>
      <c r="AD880" s="4">
        <v>13</v>
      </c>
      <c r="AE880" s="4">
        <v>19</v>
      </c>
      <c r="AF880" s="4">
        <v>2</v>
      </c>
      <c r="AG880" s="4">
        <v>4</v>
      </c>
      <c r="AH880" s="4">
        <v>3</v>
      </c>
      <c r="AI880" s="4">
        <v>5</v>
      </c>
      <c r="AJ880" s="4">
        <v>11</v>
      </c>
      <c r="AK880" s="4">
        <v>17</v>
      </c>
      <c r="AL880" s="4">
        <v>0</v>
      </c>
      <c r="AM880" s="4">
        <v>0</v>
      </c>
      <c r="AN880" s="4">
        <v>0</v>
      </c>
      <c r="AO880" s="4">
        <v>0</v>
      </c>
      <c r="AP880" s="3" t="s">
        <v>58</v>
      </c>
      <c r="AQ880" s="3" t="s">
        <v>58</v>
      </c>
      <c r="AS880" s="6" t="str">
        <f>HYPERLINK("https://creighton-primo.hosted.exlibrisgroup.com/primo-explore/search?tab=default_tab&amp;search_scope=EVERYTHING&amp;vid=01CRU&amp;lang=en_US&amp;offset=0&amp;query=any,contains,991004216489702656","Catalog Record")</f>
        <v>Catalog Record</v>
      </c>
      <c r="AT880" s="6" t="str">
        <f>HYPERLINK("http://www.worldcat.org/oclc/2696738","WorldCat Record")</f>
        <v>WorldCat Record</v>
      </c>
      <c r="AU880" s="3" t="s">
        <v>11164</v>
      </c>
      <c r="AV880" s="3" t="s">
        <v>11165</v>
      </c>
      <c r="AW880" s="3" t="s">
        <v>11166</v>
      </c>
      <c r="AX880" s="3" t="s">
        <v>11166</v>
      </c>
      <c r="AY880" s="3" t="s">
        <v>11167</v>
      </c>
      <c r="AZ880" s="3" t="s">
        <v>75</v>
      </c>
      <c r="BC880" s="3" t="s">
        <v>11168</v>
      </c>
      <c r="BD880" s="3" t="s">
        <v>11169</v>
      </c>
    </row>
    <row r="881" spans="1:56" ht="39" customHeight="1" x14ac:dyDescent="0.25">
      <c r="A881" s="7" t="s">
        <v>58</v>
      </c>
      <c r="B881" s="2" t="s">
        <v>11170</v>
      </c>
      <c r="C881" s="2" t="s">
        <v>11171</v>
      </c>
      <c r="D881" s="2" t="s">
        <v>11172</v>
      </c>
      <c r="E881" s="3" t="s">
        <v>1928</v>
      </c>
      <c r="F881" s="3" t="s">
        <v>132</v>
      </c>
      <c r="G881" s="3" t="s">
        <v>59</v>
      </c>
      <c r="H881" s="3" t="s">
        <v>58</v>
      </c>
      <c r="I881" s="3" t="s">
        <v>58</v>
      </c>
      <c r="J881" s="3" t="s">
        <v>60</v>
      </c>
      <c r="K881" s="2" t="s">
        <v>2117</v>
      </c>
      <c r="L881" s="2" t="s">
        <v>11173</v>
      </c>
      <c r="M881" s="3" t="s">
        <v>11174</v>
      </c>
      <c r="N881" s="2" t="s">
        <v>11175</v>
      </c>
      <c r="O881" s="3" t="s">
        <v>1490</v>
      </c>
      <c r="P881" s="3" t="s">
        <v>3393</v>
      </c>
      <c r="R881" s="3" t="s">
        <v>68</v>
      </c>
      <c r="S881" s="4">
        <v>1</v>
      </c>
      <c r="T881" s="4">
        <v>1</v>
      </c>
      <c r="U881" s="5" t="s">
        <v>1290</v>
      </c>
      <c r="V881" s="5" t="s">
        <v>1290</v>
      </c>
      <c r="W881" s="5" t="s">
        <v>10960</v>
      </c>
      <c r="X881" s="5" t="s">
        <v>10960</v>
      </c>
      <c r="Y881" s="4">
        <v>7</v>
      </c>
      <c r="Z881" s="4">
        <v>6</v>
      </c>
      <c r="AA881" s="4">
        <v>41</v>
      </c>
      <c r="AB881" s="4">
        <v>1</v>
      </c>
      <c r="AC881" s="4">
        <v>1</v>
      </c>
      <c r="AD881" s="4">
        <v>2</v>
      </c>
      <c r="AE881" s="4">
        <v>10</v>
      </c>
      <c r="AF881" s="4">
        <v>1</v>
      </c>
      <c r="AG881" s="4">
        <v>2</v>
      </c>
      <c r="AH881" s="4">
        <v>0</v>
      </c>
      <c r="AI881" s="4">
        <v>1</v>
      </c>
      <c r="AJ881" s="4">
        <v>2</v>
      </c>
      <c r="AK881" s="4">
        <v>10</v>
      </c>
      <c r="AL881" s="4">
        <v>0</v>
      </c>
      <c r="AM881" s="4">
        <v>0</v>
      </c>
      <c r="AN881" s="4">
        <v>0</v>
      </c>
      <c r="AO881" s="4">
        <v>0</v>
      </c>
      <c r="AP881" s="3" t="s">
        <v>58</v>
      </c>
      <c r="AQ881" s="3" t="s">
        <v>58</v>
      </c>
      <c r="AS881" s="6" t="str">
        <f>HYPERLINK("https://creighton-primo.hosted.exlibrisgroup.com/primo-explore/search?tab=default_tab&amp;search_scope=EVERYTHING&amp;vid=01CRU&amp;lang=en_US&amp;offset=0&amp;query=any,contains,991004494109702656","Catalog Record")</f>
        <v>Catalog Record</v>
      </c>
      <c r="AT881" s="6" t="str">
        <f>HYPERLINK("http://www.worldcat.org/oclc/3681902","WorldCat Record")</f>
        <v>WorldCat Record</v>
      </c>
      <c r="AU881" s="3" t="s">
        <v>11176</v>
      </c>
      <c r="AV881" s="3" t="s">
        <v>11177</v>
      </c>
      <c r="AW881" s="3" t="s">
        <v>11178</v>
      </c>
      <c r="AX881" s="3" t="s">
        <v>11178</v>
      </c>
      <c r="AY881" s="3" t="s">
        <v>11179</v>
      </c>
      <c r="AZ881" s="3" t="s">
        <v>75</v>
      </c>
      <c r="BC881" s="3" t="s">
        <v>11180</v>
      </c>
      <c r="BD881" s="3" t="s">
        <v>11181</v>
      </c>
    </row>
    <row r="882" spans="1:56" ht="39" customHeight="1" x14ac:dyDescent="0.25">
      <c r="A882" s="7" t="s">
        <v>58</v>
      </c>
      <c r="B882" s="2" t="s">
        <v>11170</v>
      </c>
      <c r="C882" s="2" t="s">
        <v>11171</v>
      </c>
      <c r="D882" s="2" t="s">
        <v>11172</v>
      </c>
      <c r="E882" s="3" t="s">
        <v>1913</v>
      </c>
      <c r="F882" s="3" t="s">
        <v>132</v>
      </c>
      <c r="G882" s="3" t="s">
        <v>59</v>
      </c>
      <c r="H882" s="3" t="s">
        <v>58</v>
      </c>
      <c r="I882" s="3" t="s">
        <v>58</v>
      </c>
      <c r="J882" s="3" t="s">
        <v>60</v>
      </c>
      <c r="K882" s="2" t="s">
        <v>2117</v>
      </c>
      <c r="L882" s="2" t="s">
        <v>11173</v>
      </c>
      <c r="M882" s="3" t="s">
        <v>11174</v>
      </c>
      <c r="N882" s="2" t="s">
        <v>11175</v>
      </c>
      <c r="O882" s="3" t="s">
        <v>1490</v>
      </c>
      <c r="P882" s="3" t="s">
        <v>3393</v>
      </c>
      <c r="R882" s="3" t="s">
        <v>68</v>
      </c>
      <c r="S882" s="4">
        <v>0</v>
      </c>
      <c r="T882" s="4">
        <v>1</v>
      </c>
      <c r="U882" s="5" t="s">
        <v>1290</v>
      </c>
      <c r="V882" s="5" t="s">
        <v>1290</v>
      </c>
      <c r="W882" s="5" t="s">
        <v>10960</v>
      </c>
      <c r="X882" s="5" t="s">
        <v>10960</v>
      </c>
      <c r="Y882" s="4">
        <v>7</v>
      </c>
      <c r="Z882" s="4">
        <v>6</v>
      </c>
      <c r="AA882" s="4">
        <v>41</v>
      </c>
      <c r="AB882" s="4">
        <v>1</v>
      </c>
      <c r="AC882" s="4">
        <v>1</v>
      </c>
      <c r="AD882" s="4">
        <v>2</v>
      </c>
      <c r="AE882" s="4">
        <v>10</v>
      </c>
      <c r="AF882" s="4">
        <v>1</v>
      </c>
      <c r="AG882" s="4">
        <v>2</v>
      </c>
      <c r="AH882" s="4">
        <v>0</v>
      </c>
      <c r="AI882" s="4">
        <v>1</v>
      </c>
      <c r="AJ882" s="4">
        <v>2</v>
      </c>
      <c r="AK882" s="4">
        <v>10</v>
      </c>
      <c r="AL882" s="4">
        <v>0</v>
      </c>
      <c r="AM882" s="4">
        <v>0</v>
      </c>
      <c r="AN882" s="4">
        <v>0</v>
      </c>
      <c r="AO882" s="4">
        <v>0</v>
      </c>
      <c r="AP882" s="3" t="s">
        <v>58</v>
      </c>
      <c r="AQ882" s="3" t="s">
        <v>58</v>
      </c>
      <c r="AS882" s="6" t="str">
        <f>HYPERLINK("https://creighton-primo.hosted.exlibrisgroup.com/primo-explore/search?tab=default_tab&amp;search_scope=EVERYTHING&amp;vid=01CRU&amp;lang=en_US&amp;offset=0&amp;query=any,contains,991004494109702656","Catalog Record")</f>
        <v>Catalog Record</v>
      </c>
      <c r="AT882" s="6" t="str">
        <f>HYPERLINK("http://www.worldcat.org/oclc/3681902","WorldCat Record")</f>
        <v>WorldCat Record</v>
      </c>
      <c r="AU882" s="3" t="s">
        <v>11176</v>
      </c>
      <c r="AV882" s="3" t="s">
        <v>11177</v>
      </c>
      <c r="AW882" s="3" t="s">
        <v>11178</v>
      </c>
      <c r="AX882" s="3" t="s">
        <v>11178</v>
      </c>
      <c r="AY882" s="3" t="s">
        <v>11179</v>
      </c>
      <c r="AZ882" s="3" t="s">
        <v>75</v>
      </c>
      <c r="BC882" s="3" t="s">
        <v>11182</v>
      </c>
      <c r="BD882" s="3" t="s">
        <v>11183</v>
      </c>
    </row>
    <row r="883" spans="1:56" ht="39" customHeight="1" x14ac:dyDescent="0.25">
      <c r="A883" s="7" t="s">
        <v>58</v>
      </c>
      <c r="B883" s="2" t="s">
        <v>11184</v>
      </c>
      <c r="C883" s="2" t="s">
        <v>11185</v>
      </c>
      <c r="D883" s="2" t="s">
        <v>11186</v>
      </c>
      <c r="F883" s="3" t="s">
        <v>58</v>
      </c>
      <c r="G883" s="3" t="s">
        <v>59</v>
      </c>
      <c r="H883" s="3" t="s">
        <v>58</v>
      </c>
      <c r="I883" s="3" t="s">
        <v>58</v>
      </c>
      <c r="J883" s="3" t="s">
        <v>60</v>
      </c>
      <c r="K883" s="2" t="s">
        <v>11187</v>
      </c>
      <c r="L883" s="2" t="s">
        <v>11188</v>
      </c>
      <c r="M883" s="3" t="s">
        <v>185</v>
      </c>
      <c r="O883" s="3" t="s">
        <v>65</v>
      </c>
      <c r="P883" s="3" t="s">
        <v>571</v>
      </c>
      <c r="Q883" s="2" t="s">
        <v>11189</v>
      </c>
      <c r="R883" s="3" t="s">
        <v>68</v>
      </c>
      <c r="S883" s="4">
        <v>3</v>
      </c>
      <c r="T883" s="4">
        <v>3</v>
      </c>
      <c r="U883" s="5" t="s">
        <v>11190</v>
      </c>
      <c r="V883" s="5" t="s">
        <v>11190</v>
      </c>
      <c r="W883" s="5" t="s">
        <v>11191</v>
      </c>
      <c r="X883" s="5" t="s">
        <v>11191</v>
      </c>
      <c r="Y883" s="4">
        <v>475</v>
      </c>
      <c r="Z883" s="4">
        <v>416</v>
      </c>
      <c r="AA883" s="4">
        <v>418</v>
      </c>
      <c r="AB883" s="4">
        <v>7</v>
      </c>
      <c r="AC883" s="4">
        <v>7</v>
      </c>
      <c r="AD883" s="4">
        <v>40</v>
      </c>
      <c r="AE883" s="4">
        <v>40</v>
      </c>
      <c r="AF883" s="4">
        <v>16</v>
      </c>
      <c r="AG883" s="4">
        <v>16</v>
      </c>
      <c r="AH883" s="4">
        <v>9</v>
      </c>
      <c r="AI883" s="4">
        <v>9</v>
      </c>
      <c r="AJ883" s="4">
        <v>23</v>
      </c>
      <c r="AK883" s="4">
        <v>23</v>
      </c>
      <c r="AL883" s="4">
        <v>4</v>
      </c>
      <c r="AM883" s="4">
        <v>4</v>
      </c>
      <c r="AN883" s="4">
        <v>0</v>
      </c>
      <c r="AO883" s="4">
        <v>0</v>
      </c>
      <c r="AP883" s="3" t="s">
        <v>58</v>
      </c>
      <c r="AQ883" s="3" t="s">
        <v>132</v>
      </c>
      <c r="AR883" s="6" t="str">
        <f>HYPERLINK("http://catalog.hathitrust.org/Record/004111336","HathiTrust Record")</f>
        <v>HathiTrust Record</v>
      </c>
      <c r="AS883" s="6" t="str">
        <f>HYPERLINK("https://creighton-primo.hosted.exlibrisgroup.com/primo-explore/search?tab=default_tab&amp;search_scope=EVERYTHING&amp;vid=01CRU&amp;lang=en_US&amp;offset=0&amp;query=any,contains,991003265639702656","Catalog Record")</f>
        <v>Catalog Record</v>
      </c>
      <c r="AT883" s="6" t="str">
        <f>HYPERLINK("http://www.worldcat.org/oclc/43109932","WorldCat Record")</f>
        <v>WorldCat Record</v>
      </c>
      <c r="AU883" s="3" t="s">
        <v>11192</v>
      </c>
      <c r="AV883" s="3" t="s">
        <v>11193</v>
      </c>
      <c r="AW883" s="3" t="s">
        <v>11194</v>
      </c>
      <c r="AX883" s="3" t="s">
        <v>11194</v>
      </c>
      <c r="AY883" s="3" t="s">
        <v>11195</v>
      </c>
      <c r="AZ883" s="3" t="s">
        <v>75</v>
      </c>
      <c r="BB883" s="3" t="s">
        <v>11196</v>
      </c>
      <c r="BC883" s="3" t="s">
        <v>11197</v>
      </c>
      <c r="BD883" s="3" t="s">
        <v>11198</v>
      </c>
    </row>
    <row r="884" spans="1:56" ht="39" customHeight="1" x14ac:dyDescent="0.25">
      <c r="A884" s="7" t="s">
        <v>58</v>
      </c>
      <c r="B884" s="2" t="s">
        <v>11199</v>
      </c>
      <c r="C884" s="2" t="s">
        <v>11200</v>
      </c>
      <c r="D884" s="2" t="s">
        <v>11201</v>
      </c>
      <c r="F884" s="3" t="s">
        <v>58</v>
      </c>
      <c r="G884" s="3" t="s">
        <v>59</v>
      </c>
      <c r="H884" s="3" t="s">
        <v>58</v>
      </c>
      <c r="I884" s="3" t="s">
        <v>58</v>
      </c>
      <c r="J884" s="3" t="s">
        <v>60</v>
      </c>
      <c r="K884" s="2" t="s">
        <v>11202</v>
      </c>
      <c r="L884" s="2" t="s">
        <v>11203</v>
      </c>
      <c r="M884" s="3" t="s">
        <v>439</v>
      </c>
      <c r="O884" s="3" t="s">
        <v>65</v>
      </c>
      <c r="P884" s="3" t="s">
        <v>186</v>
      </c>
      <c r="R884" s="3" t="s">
        <v>68</v>
      </c>
      <c r="S884" s="4">
        <v>6</v>
      </c>
      <c r="T884" s="4">
        <v>6</v>
      </c>
      <c r="U884" s="5" t="s">
        <v>11011</v>
      </c>
      <c r="V884" s="5" t="s">
        <v>11011</v>
      </c>
      <c r="W884" s="5" t="s">
        <v>10960</v>
      </c>
      <c r="X884" s="5" t="s">
        <v>10960</v>
      </c>
      <c r="Y884" s="4">
        <v>529</v>
      </c>
      <c r="Z884" s="4">
        <v>470</v>
      </c>
      <c r="AA884" s="4">
        <v>656</v>
      </c>
      <c r="AB884" s="4">
        <v>2</v>
      </c>
      <c r="AC884" s="4">
        <v>3</v>
      </c>
      <c r="AD884" s="4">
        <v>30</v>
      </c>
      <c r="AE884" s="4">
        <v>38</v>
      </c>
      <c r="AF884" s="4">
        <v>13</v>
      </c>
      <c r="AG884" s="4">
        <v>16</v>
      </c>
      <c r="AH884" s="4">
        <v>8</v>
      </c>
      <c r="AI884" s="4">
        <v>10</v>
      </c>
      <c r="AJ884" s="4">
        <v>18</v>
      </c>
      <c r="AK884" s="4">
        <v>22</v>
      </c>
      <c r="AL884" s="4">
        <v>1</v>
      </c>
      <c r="AM884" s="4">
        <v>1</v>
      </c>
      <c r="AN884" s="4">
        <v>0</v>
      </c>
      <c r="AO884" s="4">
        <v>0</v>
      </c>
      <c r="AP884" s="3" t="s">
        <v>58</v>
      </c>
      <c r="AQ884" s="3" t="s">
        <v>132</v>
      </c>
      <c r="AR884" s="6" t="str">
        <f>HYPERLINK("http://catalog.hathitrust.org/Record/000142941","HathiTrust Record")</f>
        <v>HathiTrust Record</v>
      </c>
      <c r="AS884" s="6" t="str">
        <f>HYPERLINK("https://creighton-primo.hosted.exlibrisgroup.com/primo-explore/search?tab=default_tab&amp;search_scope=EVERYTHING&amp;vid=01CRU&amp;lang=en_US&amp;offset=0&amp;query=any,contains,991005004129702656","Catalog Record")</f>
        <v>Catalog Record</v>
      </c>
      <c r="AT884" s="6" t="str">
        <f>HYPERLINK("http://www.worldcat.org/oclc/6555678","WorldCat Record")</f>
        <v>WorldCat Record</v>
      </c>
      <c r="AU884" s="3" t="s">
        <v>11204</v>
      </c>
      <c r="AV884" s="3" t="s">
        <v>11205</v>
      </c>
      <c r="AW884" s="3" t="s">
        <v>11206</v>
      </c>
      <c r="AX884" s="3" t="s">
        <v>11206</v>
      </c>
      <c r="AY884" s="3" t="s">
        <v>11207</v>
      </c>
      <c r="AZ884" s="3" t="s">
        <v>75</v>
      </c>
      <c r="BB884" s="3" t="s">
        <v>11208</v>
      </c>
      <c r="BC884" s="3" t="s">
        <v>11209</v>
      </c>
      <c r="BD884" s="3" t="s">
        <v>11210</v>
      </c>
    </row>
    <row r="885" spans="1:56" ht="39" customHeight="1" x14ac:dyDescent="0.25">
      <c r="A885" s="7" t="s">
        <v>58</v>
      </c>
      <c r="B885" s="2" t="s">
        <v>11211</v>
      </c>
      <c r="C885" s="2" t="s">
        <v>11212</v>
      </c>
      <c r="D885" s="2" t="s">
        <v>11213</v>
      </c>
      <c r="F885" s="3" t="s">
        <v>58</v>
      </c>
      <c r="G885" s="3" t="s">
        <v>59</v>
      </c>
      <c r="H885" s="3" t="s">
        <v>58</v>
      </c>
      <c r="I885" s="3" t="s">
        <v>58</v>
      </c>
      <c r="J885" s="3" t="s">
        <v>60</v>
      </c>
      <c r="K885" s="2" t="s">
        <v>11202</v>
      </c>
      <c r="L885" s="2" t="s">
        <v>10525</v>
      </c>
      <c r="M885" s="3" t="s">
        <v>1046</v>
      </c>
      <c r="O885" s="3" t="s">
        <v>65</v>
      </c>
      <c r="P885" s="3" t="s">
        <v>186</v>
      </c>
      <c r="Q885" s="2" t="s">
        <v>10040</v>
      </c>
      <c r="R885" s="3" t="s">
        <v>68</v>
      </c>
      <c r="S885" s="4">
        <v>8</v>
      </c>
      <c r="T885" s="4">
        <v>8</v>
      </c>
      <c r="U885" s="5" t="s">
        <v>11214</v>
      </c>
      <c r="V885" s="5" t="s">
        <v>11214</v>
      </c>
      <c r="W885" s="5" t="s">
        <v>546</v>
      </c>
      <c r="X885" s="5" t="s">
        <v>546</v>
      </c>
      <c r="Y885" s="4">
        <v>921</v>
      </c>
      <c r="Z885" s="4">
        <v>794</v>
      </c>
      <c r="AA885" s="4">
        <v>799</v>
      </c>
      <c r="AB885" s="4">
        <v>9</v>
      </c>
      <c r="AC885" s="4">
        <v>9</v>
      </c>
      <c r="AD885" s="4">
        <v>50</v>
      </c>
      <c r="AE885" s="4">
        <v>50</v>
      </c>
      <c r="AF885" s="4">
        <v>20</v>
      </c>
      <c r="AG885" s="4">
        <v>20</v>
      </c>
      <c r="AH885" s="4">
        <v>9</v>
      </c>
      <c r="AI885" s="4">
        <v>9</v>
      </c>
      <c r="AJ885" s="4">
        <v>27</v>
      </c>
      <c r="AK885" s="4">
        <v>27</v>
      </c>
      <c r="AL885" s="4">
        <v>6</v>
      </c>
      <c r="AM885" s="4">
        <v>6</v>
      </c>
      <c r="AN885" s="4">
        <v>0</v>
      </c>
      <c r="AO885" s="4">
        <v>0</v>
      </c>
      <c r="AP885" s="3" t="s">
        <v>58</v>
      </c>
      <c r="AQ885" s="3" t="s">
        <v>132</v>
      </c>
      <c r="AR885" s="6" t="str">
        <f>HYPERLINK("http://catalog.hathitrust.org/Record/002817314","HathiTrust Record")</f>
        <v>HathiTrust Record</v>
      </c>
      <c r="AS885" s="6" t="str">
        <f>HYPERLINK("https://creighton-primo.hosted.exlibrisgroup.com/primo-explore/search?tab=default_tab&amp;search_scope=EVERYTHING&amp;vid=01CRU&amp;lang=en_US&amp;offset=0&amp;query=any,contains,991000913939702656","Catalog Record")</f>
        <v>Catalog Record</v>
      </c>
      <c r="AT885" s="6" t="str">
        <f>HYPERLINK("http://www.worldcat.org/oclc/14165521","WorldCat Record")</f>
        <v>WorldCat Record</v>
      </c>
      <c r="AU885" s="3" t="s">
        <v>11215</v>
      </c>
      <c r="AV885" s="3" t="s">
        <v>11216</v>
      </c>
      <c r="AW885" s="3" t="s">
        <v>11217</v>
      </c>
      <c r="AX885" s="3" t="s">
        <v>11217</v>
      </c>
      <c r="AY885" s="3" t="s">
        <v>11218</v>
      </c>
      <c r="AZ885" s="3" t="s">
        <v>75</v>
      </c>
      <c r="BB885" s="3" t="s">
        <v>11219</v>
      </c>
      <c r="BC885" s="3" t="s">
        <v>11220</v>
      </c>
      <c r="BD885" s="3" t="s">
        <v>11221</v>
      </c>
    </row>
    <row r="886" spans="1:56" ht="39" customHeight="1" x14ac:dyDescent="0.25">
      <c r="A886" s="7" t="s">
        <v>58</v>
      </c>
      <c r="B886" s="2" t="s">
        <v>11222</v>
      </c>
      <c r="C886" s="2" t="s">
        <v>11223</v>
      </c>
      <c r="D886" s="2" t="s">
        <v>11224</v>
      </c>
      <c r="F886" s="3" t="s">
        <v>58</v>
      </c>
      <c r="G886" s="3" t="s">
        <v>59</v>
      </c>
      <c r="H886" s="3" t="s">
        <v>58</v>
      </c>
      <c r="I886" s="3" t="s">
        <v>58</v>
      </c>
      <c r="J886" s="3" t="s">
        <v>60</v>
      </c>
      <c r="K886" s="2" t="s">
        <v>11225</v>
      </c>
      <c r="L886" s="2" t="s">
        <v>11226</v>
      </c>
      <c r="M886" s="3" t="s">
        <v>3656</v>
      </c>
      <c r="O886" s="3" t="s">
        <v>1490</v>
      </c>
      <c r="P886" s="3" t="s">
        <v>3393</v>
      </c>
      <c r="Q886" s="2" t="s">
        <v>11227</v>
      </c>
      <c r="R886" s="3" t="s">
        <v>68</v>
      </c>
      <c r="S886" s="4">
        <v>1</v>
      </c>
      <c r="T886" s="4">
        <v>1</v>
      </c>
      <c r="U886" s="5" t="s">
        <v>11228</v>
      </c>
      <c r="V886" s="5" t="s">
        <v>11228</v>
      </c>
      <c r="W886" s="5" t="s">
        <v>4121</v>
      </c>
      <c r="X886" s="5" t="s">
        <v>4121</v>
      </c>
      <c r="Y886" s="4">
        <v>119</v>
      </c>
      <c r="Z886" s="4">
        <v>59</v>
      </c>
      <c r="AA886" s="4">
        <v>119</v>
      </c>
      <c r="AB886" s="4">
        <v>1</v>
      </c>
      <c r="AC886" s="4">
        <v>1</v>
      </c>
      <c r="AD886" s="4">
        <v>3</v>
      </c>
      <c r="AE886" s="4">
        <v>12</v>
      </c>
      <c r="AF886" s="4">
        <v>1</v>
      </c>
      <c r="AG886" s="4">
        <v>2</v>
      </c>
      <c r="AH886" s="4">
        <v>1</v>
      </c>
      <c r="AI886" s="4">
        <v>3</v>
      </c>
      <c r="AJ886" s="4">
        <v>2</v>
      </c>
      <c r="AK886" s="4">
        <v>10</v>
      </c>
      <c r="AL886" s="4">
        <v>0</v>
      </c>
      <c r="AM886" s="4">
        <v>0</v>
      </c>
      <c r="AN886" s="4">
        <v>0</v>
      </c>
      <c r="AO886" s="4">
        <v>0</v>
      </c>
      <c r="AP886" s="3" t="s">
        <v>58</v>
      </c>
      <c r="AQ886" s="3" t="s">
        <v>58</v>
      </c>
      <c r="AS886" s="6" t="str">
        <f>HYPERLINK("https://creighton-primo.hosted.exlibrisgroup.com/primo-explore/search?tab=default_tab&amp;search_scope=EVERYTHING&amp;vid=01CRU&amp;lang=en_US&amp;offset=0&amp;query=any,contains,991002841269702656","Catalog Record")</f>
        <v>Catalog Record</v>
      </c>
      <c r="AT886" s="6" t="str">
        <f>HYPERLINK("http://www.worldcat.org/oclc/37433037","WorldCat Record")</f>
        <v>WorldCat Record</v>
      </c>
      <c r="AU886" s="3" t="s">
        <v>11229</v>
      </c>
      <c r="AV886" s="3" t="s">
        <v>11230</v>
      </c>
      <c r="AW886" s="3" t="s">
        <v>11231</v>
      </c>
      <c r="AX886" s="3" t="s">
        <v>11231</v>
      </c>
      <c r="AY886" s="3" t="s">
        <v>11232</v>
      </c>
      <c r="AZ886" s="3" t="s">
        <v>75</v>
      </c>
      <c r="BB886" s="3" t="s">
        <v>11233</v>
      </c>
      <c r="BC886" s="3" t="s">
        <v>11234</v>
      </c>
      <c r="BD886" s="3" t="s">
        <v>11235</v>
      </c>
    </row>
    <row r="887" spans="1:56" ht="39" customHeight="1" x14ac:dyDescent="0.25">
      <c r="A887" s="7" t="s">
        <v>58</v>
      </c>
      <c r="B887" s="2" t="s">
        <v>11236</v>
      </c>
      <c r="C887" s="2" t="s">
        <v>11237</v>
      </c>
      <c r="D887" s="2" t="s">
        <v>11238</v>
      </c>
      <c r="F887" s="3" t="s">
        <v>58</v>
      </c>
      <c r="G887" s="3" t="s">
        <v>59</v>
      </c>
      <c r="H887" s="3" t="s">
        <v>58</v>
      </c>
      <c r="I887" s="3" t="s">
        <v>58</v>
      </c>
      <c r="J887" s="3" t="s">
        <v>60</v>
      </c>
      <c r="K887" s="2" t="s">
        <v>11239</v>
      </c>
      <c r="L887" s="2" t="s">
        <v>11240</v>
      </c>
      <c r="M887" s="3" t="s">
        <v>273</v>
      </c>
      <c r="O887" s="3" t="s">
        <v>65</v>
      </c>
      <c r="P887" s="3" t="s">
        <v>113</v>
      </c>
      <c r="Q887" s="2" t="s">
        <v>11241</v>
      </c>
      <c r="R887" s="3" t="s">
        <v>68</v>
      </c>
      <c r="S887" s="4">
        <v>6</v>
      </c>
      <c r="T887" s="4">
        <v>6</v>
      </c>
      <c r="U887" s="5" t="s">
        <v>10095</v>
      </c>
      <c r="V887" s="5" t="s">
        <v>10095</v>
      </c>
      <c r="W887" s="5" t="s">
        <v>11242</v>
      </c>
      <c r="X887" s="5" t="s">
        <v>11242</v>
      </c>
      <c r="Y887" s="4">
        <v>326</v>
      </c>
      <c r="Z887" s="4">
        <v>268</v>
      </c>
      <c r="AA887" s="4">
        <v>487</v>
      </c>
      <c r="AB887" s="4">
        <v>3</v>
      </c>
      <c r="AC887" s="4">
        <v>4</v>
      </c>
      <c r="AD887" s="4">
        <v>23</v>
      </c>
      <c r="AE887" s="4">
        <v>32</v>
      </c>
      <c r="AF887" s="4">
        <v>9</v>
      </c>
      <c r="AG887" s="4">
        <v>13</v>
      </c>
      <c r="AH887" s="4">
        <v>4</v>
      </c>
      <c r="AI887" s="4">
        <v>7</v>
      </c>
      <c r="AJ887" s="4">
        <v>16</v>
      </c>
      <c r="AK887" s="4">
        <v>20</v>
      </c>
      <c r="AL887" s="4">
        <v>1</v>
      </c>
      <c r="AM887" s="4">
        <v>2</v>
      </c>
      <c r="AN887" s="4">
        <v>0</v>
      </c>
      <c r="AO887" s="4">
        <v>0</v>
      </c>
      <c r="AP887" s="3" t="s">
        <v>58</v>
      </c>
      <c r="AQ887" s="3" t="s">
        <v>132</v>
      </c>
      <c r="AR887" s="6" t="str">
        <f>HYPERLINK("http://catalog.hathitrust.org/Record/002906574","HathiTrust Record")</f>
        <v>HathiTrust Record</v>
      </c>
      <c r="AS887" s="6" t="str">
        <f>HYPERLINK("https://creighton-primo.hosted.exlibrisgroup.com/primo-explore/search?tab=default_tab&amp;search_scope=EVERYTHING&amp;vid=01CRU&amp;lang=en_US&amp;offset=0&amp;query=any,contains,991004327459702656","Catalog Record")</f>
        <v>Catalog Record</v>
      </c>
      <c r="AT887" s="6" t="str">
        <f>HYPERLINK("http://www.worldcat.org/oclc/28674259","WorldCat Record")</f>
        <v>WorldCat Record</v>
      </c>
      <c r="AU887" s="3" t="s">
        <v>11243</v>
      </c>
      <c r="AV887" s="3" t="s">
        <v>11244</v>
      </c>
      <c r="AW887" s="3" t="s">
        <v>11245</v>
      </c>
      <c r="AX887" s="3" t="s">
        <v>11245</v>
      </c>
      <c r="AY887" s="3" t="s">
        <v>11246</v>
      </c>
      <c r="AZ887" s="3" t="s">
        <v>75</v>
      </c>
      <c r="BB887" s="3" t="s">
        <v>11247</v>
      </c>
      <c r="BC887" s="3" t="s">
        <v>11248</v>
      </c>
      <c r="BD887" s="3" t="s">
        <v>11249</v>
      </c>
    </row>
    <row r="888" spans="1:56" ht="39" customHeight="1" x14ac:dyDescent="0.25">
      <c r="A888" s="7" t="s">
        <v>58</v>
      </c>
      <c r="B888" s="2" t="s">
        <v>11250</v>
      </c>
      <c r="C888" s="2" t="s">
        <v>11251</v>
      </c>
      <c r="D888" s="2" t="s">
        <v>11252</v>
      </c>
      <c r="F888" s="3" t="s">
        <v>58</v>
      </c>
      <c r="G888" s="3" t="s">
        <v>59</v>
      </c>
      <c r="H888" s="3" t="s">
        <v>58</v>
      </c>
      <c r="I888" s="3" t="s">
        <v>58</v>
      </c>
      <c r="J888" s="3" t="s">
        <v>60</v>
      </c>
      <c r="K888" s="2" t="s">
        <v>11239</v>
      </c>
      <c r="L888" s="2" t="s">
        <v>2571</v>
      </c>
      <c r="M888" s="3" t="s">
        <v>229</v>
      </c>
      <c r="O888" s="3" t="s">
        <v>65</v>
      </c>
      <c r="P888" s="3" t="s">
        <v>186</v>
      </c>
      <c r="Q888" s="2" t="s">
        <v>10040</v>
      </c>
      <c r="R888" s="3" t="s">
        <v>68</v>
      </c>
      <c r="S888" s="4">
        <v>7</v>
      </c>
      <c r="T888" s="4">
        <v>7</v>
      </c>
      <c r="U888" s="5" t="s">
        <v>10095</v>
      </c>
      <c r="V888" s="5" t="s">
        <v>10095</v>
      </c>
      <c r="W888" s="5" t="s">
        <v>10960</v>
      </c>
      <c r="X888" s="5" t="s">
        <v>10960</v>
      </c>
      <c r="Y888" s="4">
        <v>591</v>
      </c>
      <c r="Z888" s="4">
        <v>509</v>
      </c>
      <c r="AA888" s="4">
        <v>511</v>
      </c>
      <c r="AB888" s="4">
        <v>7</v>
      </c>
      <c r="AC888" s="4">
        <v>7</v>
      </c>
      <c r="AD888" s="4">
        <v>39</v>
      </c>
      <c r="AE888" s="4">
        <v>39</v>
      </c>
      <c r="AF888" s="4">
        <v>16</v>
      </c>
      <c r="AG888" s="4">
        <v>16</v>
      </c>
      <c r="AH888" s="4">
        <v>6</v>
      </c>
      <c r="AI888" s="4">
        <v>6</v>
      </c>
      <c r="AJ888" s="4">
        <v>23</v>
      </c>
      <c r="AK888" s="4">
        <v>23</v>
      </c>
      <c r="AL888" s="4">
        <v>4</v>
      </c>
      <c r="AM888" s="4">
        <v>4</v>
      </c>
      <c r="AN888" s="4">
        <v>0</v>
      </c>
      <c r="AO888" s="4">
        <v>0</v>
      </c>
      <c r="AP888" s="3" t="s">
        <v>58</v>
      </c>
      <c r="AQ888" s="3" t="s">
        <v>132</v>
      </c>
      <c r="AR888" s="6" t="str">
        <f>HYPERLINK("http://catalog.hathitrust.org/Record/002815902","HathiTrust Record")</f>
        <v>HathiTrust Record</v>
      </c>
      <c r="AS888" s="6" t="str">
        <f>HYPERLINK("https://creighton-primo.hosted.exlibrisgroup.com/primo-explore/search?tab=default_tab&amp;search_scope=EVERYTHING&amp;vid=01CRU&amp;lang=en_US&amp;offset=0&amp;query=any,contains,991001492739702656","Catalog Record")</f>
        <v>Catalog Record</v>
      </c>
      <c r="AT888" s="6" t="str">
        <f>HYPERLINK("http://www.worldcat.org/oclc/19739524","WorldCat Record")</f>
        <v>WorldCat Record</v>
      </c>
      <c r="AU888" s="3" t="s">
        <v>11253</v>
      </c>
      <c r="AV888" s="3" t="s">
        <v>11254</v>
      </c>
      <c r="AW888" s="3" t="s">
        <v>11255</v>
      </c>
      <c r="AX888" s="3" t="s">
        <v>11255</v>
      </c>
      <c r="AY888" s="3" t="s">
        <v>11256</v>
      </c>
      <c r="AZ888" s="3" t="s">
        <v>75</v>
      </c>
      <c r="BB888" s="3" t="s">
        <v>11257</v>
      </c>
      <c r="BC888" s="3" t="s">
        <v>11258</v>
      </c>
      <c r="BD888" s="3" t="s">
        <v>11259</v>
      </c>
    </row>
    <row r="889" spans="1:56" ht="39" customHeight="1" x14ac:dyDescent="0.25">
      <c r="A889" s="7" t="s">
        <v>58</v>
      </c>
      <c r="B889" s="2" t="s">
        <v>11260</v>
      </c>
      <c r="C889" s="2" t="s">
        <v>11261</v>
      </c>
      <c r="D889" s="2" t="s">
        <v>11262</v>
      </c>
      <c r="E889" s="3" t="s">
        <v>1928</v>
      </c>
      <c r="F889" s="3" t="s">
        <v>132</v>
      </c>
      <c r="G889" s="3" t="s">
        <v>59</v>
      </c>
      <c r="H889" s="3" t="s">
        <v>58</v>
      </c>
      <c r="I889" s="3" t="s">
        <v>58</v>
      </c>
      <c r="J889" s="3" t="s">
        <v>60</v>
      </c>
      <c r="K889" s="2" t="s">
        <v>11239</v>
      </c>
      <c r="L889" s="2" t="s">
        <v>11263</v>
      </c>
      <c r="M889" s="3" t="s">
        <v>1371</v>
      </c>
      <c r="O889" s="3" t="s">
        <v>65</v>
      </c>
      <c r="P889" s="3" t="s">
        <v>9280</v>
      </c>
      <c r="R889" s="3" t="s">
        <v>68</v>
      </c>
      <c r="S889" s="4">
        <v>4</v>
      </c>
      <c r="T889" s="4">
        <v>8</v>
      </c>
      <c r="U889" s="5" t="s">
        <v>11264</v>
      </c>
      <c r="V889" s="5" t="s">
        <v>11264</v>
      </c>
      <c r="W889" s="5" t="s">
        <v>10960</v>
      </c>
      <c r="X889" s="5" t="s">
        <v>10960</v>
      </c>
      <c r="Y889" s="4">
        <v>205</v>
      </c>
      <c r="Z889" s="4">
        <v>194</v>
      </c>
      <c r="AA889" s="4">
        <v>194</v>
      </c>
      <c r="AB889" s="4">
        <v>2</v>
      </c>
      <c r="AC889" s="4">
        <v>2</v>
      </c>
      <c r="AD889" s="4">
        <v>25</v>
      </c>
      <c r="AE889" s="4">
        <v>25</v>
      </c>
      <c r="AF889" s="4">
        <v>6</v>
      </c>
      <c r="AG889" s="4">
        <v>6</v>
      </c>
      <c r="AH889" s="4">
        <v>6</v>
      </c>
      <c r="AI889" s="4">
        <v>6</v>
      </c>
      <c r="AJ889" s="4">
        <v>20</v>
      </c>
      <c r="AK889" s="4">
        <v>20</v>
      </c>
      <c r="AL889" s="4">
        <v>1</v>
      </c>
      <c r="AM889" s="4">
        <v>1</v>
      </c>
      <c r="AN889" s="4">
        <v>0</v>
      </c>
      <c r="AO889" s="4">
        <v>0</v>
      </c>
      <c r="AP889" s="3" t="s">
        <v>58</v>
      </c>
      <c r="AQ889" s="3" t="s">
        <v>58</v>
      </c>
      <c r="AS889" s="6" t="str">
        <f>HYPERLINK("https://creighton-primo.hosted.exlibrisgroup.com/primo-explore/search?tab=default_tab&amp;search_scope=EVERYTHING&amp;vid=01CRU&amp;lang=en_US&amp;offset=0&amp;query=any,contains,991004035859702656","Catalog Record")</f>
        <v>Catalog Record</v>
      </c>
      <c r="AT889" s="6" t="str">
        <f>HYPERLINK("http://www.worldcat.org/oclc/2169787","WorldCat Record")</f>
        <v>WorldCat Record</v>
      </c>
      <c r="AU889" s="3" t="s">
        <v>11265</v>
      </c>
      <c r="AV889" s="3" t="s">
        <v>11266</v>
      </c>
      <c r="AW889" s="3" t="s">
        <v>11267</v>
      </c>
      <c r="AX889" s="3" t="s">
        <v>11267</v>
      </c>
      <c r="AY889" s="3" t="s">
        <v>11268</v>
      </c>
      <c r="AZ889" s="3" t="s">
        <v>75</v>
      </c>
      <c r="BC889" s="3" t="s">
        <v>11269</v>
      </c>
      <c r="BD889" s="3" t="s">
        <v>11270</v>
      </c>
    </row>
    <row r="890" spans="1:56" ht="39" customHeight="1" x14ac:dyDescent="0.25">
      <c r="A890" s="7" t="s">
        <v>58</v>
      </c>
      <c r="B890" s="2" t="s">
        <v>11260</v>
      </c>
      <c r="C890" s="2" t="s">
        <v>11261</v>
      </c>
      <c r="D890" s="2" t="s">
        <v>11262</v>
      </c>
      <c r="E890" s="3" t="s">
        <v>1913</v>
      </c>
      <c r="F890" s="3" t="s">
        <v>132</v>
      </c>
      <c r="G890" s="3" t="s">
        <v>59</v>
      </c>
      <c r="H890" s="3" t="s">
        <v>58</v>
      </c>
      <c r="I890" s="3" t="s">
        <v>58</v>
      </c>
      <c r="J890" s="3" t="s">
        <v>60</v>
      </c>
      <c r="K890" s="2" t="s">
        <v>11239</v>
      </c>
      <c r="L890" s="2" t="s">
        <v>11263</v>
      </c>
      <c r="M890" s="3" t="s">
        <v>1371</v>
      </c>
      <c r="O890" s="3" t="s">
        <v>65</v>
      </c>
      <c r="P890" s="3" t="s">
        <v>9280</v>
      </c>
      <c r="R890" s="3" t="s">
        <v>68</v>
      </c>
      <c r="S890" s="4">
        <v>4</v>
      </c>
      <c r="T890" s="4">
        <v>8</v>
      </c>
      <c r="U890" s="5" t="s">
        <v>11264</v>
      </c>
      <c r="V890" s="5" t="s">
        <v>11264</v>
      </c>
      <c r="W890" s="5" t="s">
        <v>10960</v>
      </c>
      <c r="X890" s="5" t="s">
        <v>10960</v>
      </c>
      <c r="Y890" s="4">
        <v>205</v>
      </c>
      <c r="Z890" s="4">
        <v>194</v>
      </c>
      <c r="AA890" s="4">
        <v>194</v>
      </c>
      <c r="AB890" s="4">
        <v>2</v>
      </c>
      <c r="AC890" s="4">
        <v>2</v>
      </c>
      <c r="AD890" s="4">
        <v>25</v>
      </c>
      <c r="AE890" s="4">
        <v>25</v>
      </c>
      <c r="AF890" s="4">
        <v>6</v>
      </c>
      <c r="AG890" s="4">
        <v>6</v>
      </c>
      <c r="AH890" s="4">
        <v>6</v>
      </c>
      <c r="AI890" s="4">
        <v>6</v>
      </c>
      <c r="AJ890" s="4">
        <v>20</v>
      </c>
      <c r="AK890" s="4">
        <v>20</v>
      </c>
      <c r="AL890" s="4">
        <v>1</v>
      </c>
      <c r="AM890" s="4">
        <v>1</v>
      </c>
      <c r="AN890" s="4">
        <v>0</v>
      </c>
      <c r="AO890" s="4">
        <v>0</v>
      </c>
      <c r="AP890" s="3" t="s">
        <v>58</v>
      </c>
      <c r="AQ890" s="3" t="s">
        <v>58</v>
      </c>
      <c r="AS890" s="6" t="str">
        <f>HYPERLINK("https://creighton-primo.hosted.exlibrisgroup.com/primo-explore/search?tab=default_tab&amp;search_scope=EVERYTHING&amp;vid=01CRU&amp;lang=en_US&amp;offset=0&amp;query=any,contains,991004035859702656","Catalog Record")</f>
        <v>Catalog Record</v>
      </c>
      <c r="AT890" s="6" t="str">
        <f>HYPERLINK("http://www.worldcat.org/oclc/2169787","WorldCat Record")</f>
        <v>WorldCat Record</v>
      </c>
      <c r="AU890" s="3" t="s">
        <v>11265</v>
      </c>
      <c r="AV890" s="3" t="s">
        <v>11266</v>
      </c>
      <c r="AW890" s="3" t="s">
        <v>11267</v>
      </c>
      <c r="AX890" s="3" t="s">
        <v>11267</v>
      </c>
      <c r="AY890" s="3" t="s">
        <v>11268</v>
      </c>
      <c r="AZ890" s="3" t="s">
        <v>75</v>
      </c>
      <c r="BC890" s="3" t="s">
        <v>11271</v>
      </c>
      <c r="BD890" s="3" t="s">
        <v>11272</v>
      </c>
    </row>
    <row r="891" spans="1:56" ht="39" customHeight="1" x14ac:dyDescent="0.25">
      <c r="A891" s="7" t="s">
        <v>58</v>
      </c>
      <c r="B891" s="2" t="s">
        <v>11273</v>
      </c>
      <c r="C891" s="2" t="s">
        <v>11274</v>
      </c>
      <c r="D891" s="2" t="s">
        <v>11275</v>
      </c>
      <c r="F891" s="3" t="s">
        <v>58</v>
      </c>
      <c r="G891" s="3" t="s">
        <v>59</v>
      </c>
      <c r="H891" s="3" t="s">
        <v>58</v>
      </c>
      <c r="I891" s="3" t="s">
        <v>58</v>
      </c>
      <c r="J891" s="3" t="s">
        <v>60</v>
      </c>
      <c r="K891" s="2" t="s">
        <v>11202</v>
      </c>
      <c r="L891" s="2" t="s">
        <v>11276</v>
      </c>
      <c r="M891" s="3" t="s">
        <v>670</v>
      </c>
      <c r="O891" s="3" t="s">
        <v>65</v>
      </c>
      <c r="P891" s="3" t="s">
        <v>186</v>
      </c>
      <c r="Q891" s="2" t="s">
        <v>11277</v>
      </c>
      <c r="R891" s="3" t="s">
        <v>68</v>
      </c>
      <c r="S891" s="4">
        <v>6</v>
      </c>
      <c r="T891" s="4">
        <v>6</v>
      </c>
      <c r="U891" s="5" t="s">
        <v>11278</v>
      </c>
      <c r="V891" s="5" t="s">
        <v>11278</v>
      </c>
      <c r="W891" s="5" t="s">
        <v>6744</v>
      </c>
      <c r="X891" s="5" t="s">
        <v>6744</v>
      </c>
      <c r="Y891" s="4">
        <v>16</v>
      </c>
      <c r="Z891" s="4">
        <v>10</v>
      </c>
      <c r="AA891" s="4">
        <v>955</v>
      </c>
      <c r="AB891" s="4">
        <v>1</v>
      </c>
      <c r="AC891" s="4">
        <v>7</v>
      </c>
      <c r="AD891" s="4">
        <v>1</v>
      </c>
      <c r="AE891" s="4">
        <v>44</v>
      </c>
      <c r="AF891" s="4">
        <v>0</v>
      </c>
      <c r="AG891" s="4">
        <v>20</v>
      </c>
      <c r="AH891" s="4">
        <v>1</v>
      </c>
      <c r="AI891" s="4">
        <v>9</v>
      </c>
      <c r="AJ891" s="4">
        <v>1</v>
      </c>
      <c r="AK891" s="4">
        <v>22</v>
      </c>
      <c r="AL891" s="4">
        <v>0</v>
      </c>
      <c r="AM891" s="4">
        <v>4</v>
      </c>
      <c r="AN891" s="4">
        <v>0</v>
      </c>
      <c r="AO891" s="4">
        <v>0</v>
      </c>
      <c r="AP891" s="3" t="s">
        <v>58</v>
      </c>
      <c r="AQ891" s="3" t="s">
        <v>58</v>
      </c>
      <c r="AS891" s="6" t="str">
        <f>HYPERLINK("https://creighton-primo.hosted.exlibrisgroup.com/primo-explore/search?tab=default_tab&amp;search_scope=EVERYTHING&amp;vid=01CRU&amp;lang=en_US&amp;offset=0&amp;query=any,contains,991005263019702656","Catalog Record")</f>
        <v>Catalog Record</v>
      </c>
      <c r="AT891" s="6" t="str">
        <f>HYPERLINK("http://www.worldcat.org/oclc/27210137","WorldCat Record")</f>
        <v>WorldCat Record</v>
      </c>
      <c r="AU891" s="3" t="s">
        <v>11279</v>
      </c>
      <c r="AV891" s="3" t="s">
        <v>11280</v>
      </c>
      <c r="AW891" s="3" t="s">
        <v>11281</v>
      </c>
      <c r="AX891" s="3" t="s">
        <v>11281</v>
      </c>
      <c r="AY891" s="3" t="s">
        <v>11282</v>
      </c>
      <c r="AZ891" s="3" t="s">
        <v>75</v>
      </c>
      <c r="BC891" s="3" t="s">
        <v>11283</v>
      </c>
      <c r="BD891" s="3" t="s">
        <v>11284</v>
      </c>
    </row>
    <row r="892" spans="1:56" ht="39" customHeight="1" x14ac:dyDescent="0.25">
      <c r="A892" s="7" t="s">
        <v>58</v>
      </c>
      <c r="B892" s="2" t="s">
        <v>11285</v>
      </c>
      <c r="C892" s="2" t="s">
        <v>11286</v>
      </c>
      <c r="D892" s="2" t="s">
        <v>11287</v>
      </c>
      <c r="F892" s="3" t="s">
        <v>58</v>
      </c>
      <c r="G892" s="3" t="s">
        <v>59</v>
      </c>
      <c r="H892" s="3" t="s">
        <v>58</v>
      </c>
      <c r="I892" s="3" t="s">
        <v>58</v>
      </c>
      <c r="J892" s="3" t="s">
        <v>60</v>
      </c>
      <c r="K892" s="2" t="s">
        <v>11288</v>
      </c>
      <c r="L892" s="2" t="s">
        <v>11289</v>
      </c>
      <c r="M892" s="3" t="s">
        <v>709</v>
      </c>
      <c r="N892" s="2" t="s">
        <v>7006</v>
      </c>
      <c r="O892" s="3" t="s">
        <v>65</v>
      </c>
      <c r="P892" s="3" t="s">
        <v>11290</v>
      </c>
      <c r="R892" s="3" t="s">
        <v>68</v>
      </c>
      <c r="S892" s="4">
        <v>7</v>
      </c>
      <c r="T892" s="4">
        <v>7</v>
      </c>
      <c r="U892" s="5" t="s">
        <v>11291</v>
      </c>
      <c r="V892" s="5" t="s">
        <v>11291</v>
      </c>
      <c r="W892" s="5" t="s">
        <v>11292</v>
      </c>
      <c r="X892" s="5" t="s">
        <v>11292</v>
      </c>
      <c r="Y892" s="4">
        <v>44</v>
      </c>
      <c r="Z892" s="4">
        <v>34</v>
      </c>
      <c r="AA892" s="4">
        <v>1826</v>
      </c>
      <c r="AB892" s="4">
        <v>1</v>
      </c>
      <c r="AC892" s="4">
        <v>20</v>
      </c>
      <c r="AD892" s="4">
        <v>1</v>
      </c>
      <c r="AE892" s="4">
        <v>53</v>
      </c>
      <c r="AF892" s="4">
        <v>1</v>
      </c>
      <c r="AG892" s="4">
        <v>20</v>
      </c>
      <c r="AH892" s="4">
        <v>0</v>
      </c>
      <c r="AI892" s="4">
        <v>9</v>
      </c>
      <c r="AJ892" s="4">
        <v>0</v>
      </c>
      <c r="AK892" s="4">
        <v>23</v>
      </c>
      <c r="AL892" s="4">
        <v>0</v>
      </c>
      <c r="AM892" s="4">
        <v>13</v>
      </c>
      <c r="AN892" s="4">
        <v>0</v>
      </c>
      <c r="AO892" s="4">
        <v>0</v>
      </c>
      <c r="AP892" s="3" t="s">
        <v>58</v>
      </c>
      <c r="AQ892" s="3" t="s">
        <v>58</v>
      </c>
      <c r="AS892" s="6" t="str">
        <f>HYPERLINK("https://creighton-primo.hosted.exlibrisgroup.com/primo-explore/search?tab=default_tab&amp;search_scope=EVERYTHING&amp;vid=01CRU&amp;lang=en_US&amp;offset=0&amp;query=any,contains,991001889429702656","Catalog Record")</f>
        <v>Catalog Record</v>
      </c>
      <c r="AT892" s="6" t="str">
        <f>HYPERLINK("http://www.worldcat.org/oclc/23828622","WorldCat Record")</f>
        <v>WorldCat Record</v>
      </c>
      <c r="AU892" s="3" t="s">
        <v>11293</v>
      </c>
      <c r="AV892" s="3" t="s">
        <v>11294</v>
      </c>
      <c r="AW892" s="3" t="s">
        <v>11295</v>
      </c>
      <c r="AX892" s="3" t="s">
        <v>11295</v>
      </c>
      <c r="AY892" s="3" t="s">
        <v>11296</v>
      </c>
      <c r="AZ892" s="3" t="s">
        <v>75</v>
      </c>
      <c r="BB892" s="3" t="s">
        <v>11297</v>
      </c>
      <c r="BC892" s="3" t="s">
        <v>11298</v>
      </c>
      <c r="BD892" s="3" t="s">
        <v>11299</v>
      </c>
    </row>
    <row r="893" spans="1:56" ht="39" customHeight="1" x14ac:dyDescent="0.25">
      <c r="A893" s="7" t="s">
        <v>58</v>
      </c>
      <c r="B893" s="2" t="s">
        <v>11300</v>
      </c>
      <c r="C893" s="2" t="s">
        <v>11301</v>
      </c>
      <c r="D893" s="2" t="s">
        <v>11302</v>
      </c>
      <c r="F893" s="3" t="s">
        <v>58</v>
      </c>
      <c r="G893" s="3" t="s">
        <v>59</v>
      </c>
      <c r="H893" s="3" t="s">
        <v>58</v>
      </c>
      <c r="I893" s="3" t="s">
        <v>58</v>
      </c>
      <c r="J893" s="3" t="s">
        <v>60</v>
      </c>
      <c r="K893" s="2" t="s">
        <v>11303</v>
      </c>
      <c r="L893" s="2" t="s">
        <v>11304</v>
      </c>
      <c r="M893" s="3" t="s">
        <v>128</v>
      </c>
      <c r="O893" s="3" t="s">
        <v>65</v>
      </c>
      <c r="P893" s="3" t="s">
        <v>66</v>
      </c>
      <c r="Q893" s="2" t="s">
        <v>11305</v>
      </c>
      <c r="R893" s="3" t="s">
        <v>68</v>
      </c>
      <c r="S893" s="4">
        <v>5</v>
      </c>
      <c r="T893" s="4">
        <v>5</v>
      </c>
      <c r="U893" s="5" t="s">
        <v>11306</v>
      </c>
      <c r="V893" s="5" t="s">
        <v>11306</v>
      </c>
      <c r="W893" s="5" t="s">
        <v>10960</v>
      </c>
      <c r="X893" s="5" t="s">
        <v>10960</v>
      </c>
      <c r="Y893" s="4">
        <v>384</v>
      </c>
      <c r="Z893" s="4">
        <v>300</v>
      </c>
      <c r="AA893" s="4">
        <v>307</v>
      </c>
      <c r="AB893" s="4">
        <v>3</v>
      </c>
      <c r="AC893" s="4">
        <v>3</v>
      </c>
      <c r="AD893" s="4">
        <v>21</v>
      </c>
      <c r="AE893" s="4">
        <v>21</v>
      </c>
      <c r="AF893" s="4">
        <v>5</v>
      </c>
      <c r="AG893" s="4">
        <v>5</v>
      </c>
      <c r="AH893" s="4">
        <v>6</v>
      </c>
      <c r="AI893" s="4">
        <v>6</v>
      </c>
      <c r="AJ893" s="4">
        <v>13</v>
      </c>
      <c r="AK893" s="4">
        <v>13</v>
      </c>
      <c r="AL893" s="4">
        <v>2</v>
      </c>
      <c r="AM893" s="4">
        <v>2</v>
      </c>
      <c r="AN893" s="4">
        <v>0</v>
      </c>
      <c r="AO893" s="4">
        <v>0</v>
      </c>
      <c r="AP893" s="3" t="s">
        <v>58</v>
      </c>
      <c r="AQ893" s="3" t="s">
        <v>132</v>
      </c>
      <c r="AR893" s="6" t="str">
        <f>HYPERLINK("http://catalog.hathitrust.org/Record/000252474","HathiTrust Record")</f>
        <v>HathiTrust Record</v>
      </c>
      <c r="AS893" s="6" t="str">
        <f>HYPERLINK("https://creighton-primo.hosted.exlibrisgroup.com/primo-explore/search?tab=default_tab&amp;search_scope=EVERYTHING&amp;vid=01CRU&amp;lang=en_US&amp;offset=0&amp;query=any,contains,991004325549702656","Catalog Record")</f>
        <v>Catalog Record</v>
      </c>
      <c r="AT893" s="6" t="str">
        <f>HYPERLINK("http://www.worldcat.org/oclc/3034614","WorldCat Record")</f>
        <v>WorldCat Record</v>
      </c>
      <c r="AU893" s="3" t="s">
        <v>11307</v>
      </c>
      <c r="AV893" s="3" t="s">
        <v>11308</v>
      </c>
      <c r="AW893" s="3" t="s">
        <v>11309</v>
      </c>
      <c r="AX893" s="3" t="s">
        <v>11309</v>
      </c>
      <c r="AY893" s="3" t="s">
        <v>11310</v>
      </c>
      <c r="AZ893" s="3" t="s">
        <v>75</v>
      </c>
      <c r="BB893" s="3" t="s">
        <v>11311</v>
      </c>
      <c r="BC893" s="3" t="s">
        <v>11312</v>
      </c>
      <c r="BD893" s="3" t="s">
        <v>11313</v>
      </c>
    </row>
    <row r="894" spans="1:56" ht="39" customHeight="1" x14ac:dyDescent="0.25">
      <c r="A894" s="7" t="s">
        <v>58</v>
      </c>
      <c r="B894" s="2" t="s">
        <v>11314</v>
      </c>
      <c r="C894" s="2" t="s">
        <v>11315</v>
      </c>
      <c r="D894" s="2" t="s">
        <v>11316</v>
      </c>
      <c r="F894" s="3" t="s">
        <v>58</v>
      </c>
      <c r="G894" s="3" t="s">
        <v>59</v>
      </c>
      <c r="H894" s="3" t="s">
        <v>58</v>
      </c>
      <c r="I894" s="3" t="s">
        <v>58</v>
      </c>
      <c r="J894" s="3" t="s">
        <v>60</v>
      </c>
      <c r="K894" s="2" t="s">
        <v>11317</v>
      </c>
      <c r="L894" s="2" t="s">
        <v>11318</v>
      </c>
      <c r="M894" s="3" t="s">
        <v>1738</v>
      </c>
      <c r="O894" s="3" t="s">
        <v>65</v>
      </c>
      <c r="P894" s="3" t="s">
        <v>186</v>
      </c>
      <c r="R894" s="3" t="s">
        <v>68</v>
      </c>
      <c r="S894" s="4">
        <v>7</v>
      </c>
      <c r="T894" s="4">
        <v>7</v>
      </c>
      <c r="U894" s="5" t="s">
        <v>5596</v>
      </c>
      <c r="V894" s="5" t="s">
        <v>5596</v>
      </c>
      <c r="W894" s="5" t="s">
        <v>10960</v>
      </c>
      <c r="X894" s="5" t="s">
        <v>10960</v>
      </c>
      <c r="Y894" s="4">
        <v>106</v>
      </c>
      <c r="Z894" s="4">
        <v>94</v>
      </c>
      <c r="AA894" s="4">
        <v>94</v>
      </c>
      <c r="AB894" s="4">
        <v>1</v>
      </c>
      <c r="AC894" s="4">
        <v>1</v>
      </c>
      <c r="AD894" s="4">
        <v>19</v>
      </c>
      <c r="AE894" s="4">
        <v>19</v>
      </c>
      <c r="AF894" s="4">
        <v>4</v>
      </c>
      <c r="AG894" s="4">
        <v>4</v>
      </c>
      <c r="AH894" s="4">
        <v>4</v>
      </c>
      <c r="AI894" s="4">
        <v>4</v>
      </c>
      <c r="AJ894" s="4">
        <v>16</v>
      </c>
      <c r="AK894" s="4">
        <v>16</v>
      </c>
      <c r="AL894" s="4">
        <v>0</v>
      </c>
      <c r="AM894" s="4">
        <v>0</v>
      </c>
      <c r="AN894" s="4">
        <v>0</v>
      </c>
      <c r="AO894" s="4">
        <v>0</v>
      </c>
      <c r="AP894" s="3" t="s">
        <v>58</v>
      </c>
      <c r="AQ894" s="3" t="s">
        <v>58</v>
      </c>
      <c r="AS894" s="6" t="str">
        <f>HYPERLINK("https://creighton-primo.hosted.exlibrisgroup.com/primo-explore/search?tab=default_tab&amp;search_scope=EVERYTHING&amp;vid=01CRU&amp;lang=en_US&amp;offset=0&amp;query=any,contains,991004160769702656","Catalog Record")</f>
        <v>Catalog Record</v>
      </c>
      <c r="AT894" s="6" t="str">
        <f>HYPERLINK("http://www.worldcat.org/oclc/2551042","WorldCat Record")</f>
        <v>WorldCat Record</v>
      </c>
      <c r="AU894" s="3" t="s">
        <v>11319</v>
      </c>
      <c r="AV894" s="3" t="s">
        <v>11320</v>
      </c>
      <c r="AW894" s="3" t="s">
        <v>11321</v>
      </c>
      <c r="AX894" s="3" t="s">
        <v>11321</v>
      </c>
      <c r="AY894" s="3" t="s">
        <v>11322</v>
      </c>
      <c r="AZ894" s="3" t="s">
        <v>75</v>
      </c>
      <c r="BC894" s="3" t="s">
        <v>11323</v>
      </c>
      <c r="BD894" s="3" t="s">
        <v>11324</v>
      </c>
    </row>
    <row r="895" spans="1:56" ht="39" customHeight="1" x14ac:dyDescent="0.25">
      <c r="A895" s="7" t="s">
        <v>58</v>
      </c>
      <c r="B895" s="2" t="s">
        <v>11325</v>
      </c>
      <c r="C895" s="2" t="s">
        <v>11326</v>
      </c>
      <c r="D895" s="2" t="s">
        <v>11327</v>
      </c>
      <c r="F895" s="3" t="s">
        <v>58</v>
      </c>
      <c r="G895" s="3" t="s">
        <v>59</v>
      </c>
      <c r="H895" s="3" t="s">
        <v>58</v>
      </c>
      <c r="I895" s="3" t="s">
        <v>58</v>
      </c>
      <c r="J895" s="3" t="s">
        <v>60</v>
      </c>
      <c r="K895" s="2" t="s">
        <v>11317</v>
      </c>
      <c r="L895" s="2" t="s">
        <v>11328</v>
      </c>
      <c r="M895" s="3" t="s">
        <v>3882</v>
      </c>
      <c r="O895" s="3" t="s">
        <v>65</v>
      </c>
      <c r="P895" s="3" t="s">
        <v>186</v>
      </c>
      <c r="R895" s="3" t="s">
        <v>68</v>
      </c>
      <c r="S895" s="4">
        <v>5</v>
      </c>
      <c r="T895" s="4">
        <v>5</v>
      </c>
      <c r="U895" s="5" t="s">
        <v>5596</v>
      </c>
      <c r="V895" s="5" t="s">
        <v>5596</v>
      </c>
      <c r="W895" s="5" t="s">
        <v>10960</v>
      </c>
      <c r="X895" s="5" t="s">
        <v>10960</v>
      </c>
      <c r="Y895" s="4">
        <v>117</v>
      </c>
      <c r="Z895" s="4">
        <v>107</v>
      </c>
      <c r="AA895" s="4">
        <v>109</v>
      </c>
      <c r="AB895" s="4">
        <v>3</v>
      </c>
      <c r="AC895" s="4">
        <v>3</v>
      </c>
      <c r="AD895" s="4">
        <v>24</v>
      </c>
      <c r="AE895" s="4">
        <v>24</v>
      </c>
      <c r="AF895" s="4">
        <v>9</v>
      </c>
      <c r="AG895" s="4">
        <v>9</v>
      </c>
      <c r="AH895" s="4">
        <v>4</v>
      </c>
      <c r="AI895" s="4">
        <v>4</v>
      </c>
      <c r="AJ895" s="4">
        <v>19</v>
      </c>
      <c r="AK895" s="4">
        <v>19</v>
      </c>
      <c r="AL895" s="4">
        <v>0</v>
      </c>
      <c r="AM895" s="4">
        <v>0</v>
      </c>
      <c r="AN895" s="4">
        <v>0</v>
      </c>
      <c r="AO895" s="4">
        <v>0</v>
      </c>
      <c r="AP895" s="3" t="s">
        <v>58</v>
      </c>
      <c r="AQ895" s="3" t="s">
        <v>58</v>
      </c>
      <c r="AS895" s="6" t="str">
        <f>HYPERLINK("https://creighton-primo.hosted.exlibrisgroup.com/primo-explore/search?tab=default_tab&amp;search_scope=EVERYTHING&amp;vid=01CRU&amp;lang=en_US&amp;offset=0&amp;query=any,contains,991004160739702656","Catalog Record")</f>
        <v>Catalog Record</v>
      </c>
      <c r="AT895" s="6" t="str">
        <f>HYPERLINK("http://www.worldcat.org/oclc/2551007","WorldCat Record")</f>
        <v>WorldCat Record</v>
      </c>
      <c r="AU895" s="3" t="s">
        <v>11329</v>
      </c>
      <c r="AV895" s="3" t="s">
        <v>11330</v>
      </c>
      <c r="AW895" s="3" t="s">
        <v>11331</v>
      </c>
      <c r="AX895" s="3" t="s">
        <v>11331</v>
      </c>
      <c r="AY895" s="3" t="s">
        <v>11332</v>
      </c>
      <c r="AZ895" s="3" t="s">
        <v>75</v>
      </c>
      <c r="BC895" s="3" t="s">
        <v>11333</v>
      </c>
      <c r="BD895" s="3" t="s">
        <v>11334</v>
      </c>
    </row>
    <row r="896" spans="1:56" ht="39" customHeight="1" x14ac:dyDescent="0.25">
      <c r="A896" s="7" t="s">
        <v>58</v>
      </c>
      <c r="B896" s="2" t="s">
        <v>11335</v>
      </c>
      <c r="C896" s="2" t="s">
        <v>11336</v>
      </c>
      <c r="D896" s="2" t="s">
        <v>11337</v>
      </c>
      <c r="F896" s="3" t="s">
        <v>58</v>
      </c>
      <c r="G896" s="3" t="s">
        <v>59</v>
      </c>
      <c r="H896" s="3" t="s">
        <v>58</v>
      </c>
      <c r="I896" s="3" t="s">
        <v>132</v>
      </c>
      <c r="J896" s="3" t="s">
        <v>60</v>
      </c>
      <c r="K896" s="2" t="s">
        <v>11288</v>
      </c>
      <c r="L896" s="2" t="s">
        <v>11338</v>
      </c>
      <c r="M896" s="3" t="s">
        <v>1371</v>
      </c>
      <c r="O896" s="3" t="s">
        <v>65</v>
      </c>
      <c r="P896" s="3" t="s">
        <v>186</v>
      </c>
      <c r="Q896" s="2" t="s">
        <v>11339</v>
      </c>
      <c r="R896" s="3" t="s">
        <v>68</v>
      </c>
      <c r="S896" s="4">
        <v>5</v>
      </c>
      <c r="T896" s="4">
        <v>5</v>
      </c>
      <c r="U896" s="5" t="s">
        <v>11340</v>
      </c>
      <c r="V896" s="5" t="s">
        <v>11340</v>
      </c>
      <c r="W896" s="5" t="s">
        <v>10960</v>
      </c>
      <c r="X896" s="5" t="s">
        <v>10960</v>
      </c>
      <c r="Y896" s="4">
        <v>270</v>
      </c>
      <c r="Z896" s="4">
        <v>248</v>
      </c>
      <c r="AA896" s="4">
        <v>549</v>
      </c>
      <c r="AB896" s="4">
        <v>2</v>
      </c>
      <c r="AC896" s="4">
        <v>5</v>
      </c>
      <c r="AD896" s="4">
        <v>21</v>
      </c>
      <c r="AE896" s="4">
        <v>35</v>
      </c>
      <c r="AF896" s="4">
        <v>7</v>
      </c>
      <c r="AG896" s="4">
        <v>13</v>
      </c>
      <c r="AH896" s="4">
        <v>6</v>
      </c>
      <c r="AI896" s="4">
        <v>11</v>
      </c>
      <c r="AJ896" s="4">
        <v>16</v>
      </c>
      <c r="AK896" s="4">
        <v>23</v>
      </c>
      <c r="AL896" s="4">
        <v>0</v>
      </c>
      <c r="AM896" s="4">
        <v>1</v>
      </c>
      <c r="AN896" s="4">
        <v>0</v>
      </c>
      <c r="AO896" s="4">
        <v>0</v>
      </c>
      <c r="AP896" s="3" t="s">
        <v>58</v>
      </c>
      <c r="AQ896" s="3" t="s">
        <v>58</v>
      </c>
      <c r="AS896" s="6" t="str">
        <f>HYPERLINK("https://creighton-primo.hosted.exlibrisgroup.com/primo-explore/search?tab=default_tab&amp;search_scope=EVERYTHING&amp;vid=01CRU&amp;lang=en_US&amp;offset=0&amp;query=any,contains,991003358549702656","Catalog Record")</f>
        <v>Catalog Record</v>
      </c>
      <c r="AT896" s="6" t="str">
        <f>HYPERLINK("http://www.worldcat.org/oclc/893698","WorldCat Record")</f>
        <v>WorldCat Record</v>
      </c>
      <c r="AU896" s="3" t="s">
        <v>11341</v>
      </c>
      <c r="AV896" s="3" t="s">
        <v>11342</v>
      </c>
      <c r="AW896" s="3" t="s">
        <v>11343</v>
      </c>
      <c r="AX896" s="3" t="s">
        <v>11343</v>
      </c>
      <c r="AY896" s="3" t="s">
        <v>11344</v>
      </c>
      <c r="AZ896" s="3" t="s">
        <v>75</v>
      </c>
      <c r="BC896" s="3" t="s">
        <v>11345</v>
      </c>
      <c r="BD896" s="3" t="s">
        <v>11346</v>
      </c>
    </row>
    <row r="897" spans="1:56" ht="39" customHeight="1" x14ac:dyDescent="0.25">
      <c r="A897" s="7" t="s">
        <v>58</v>
      </c>
      <c r="B897" s="2" t="s">
        <v>11347</v>
      </c>
      <c r="C897" s="2" t="s">
        <v>11348</v>
      </c>
      <c r="D897" s="2" t="s">
        <v>11349</v>
      </c>
      <c r="E897" s="3" t="s">
        <v>1916</v>
      </c>
      <c r="F897" s="3" t="s">
        <v>132</v>
      </c>
      <c r="G897" s="3" t="s">
        <v>59</v>
      </c>
      <c r="H897" s="3" t="s">
        <v>58</v>
      </c>
      <c r="I897" s="3" t="s">
        <v>58</v>
      </c>
      <c r="J897" s="3" t="s">
        <v>60</v>
      </c>
      <c r="K897" s="2" t="s">
        <v>11350</v>
      </c>
      <c r="L897" s="2" t="s">
        <v>11351</v>
      </c>
      <c r="M897" s="3" t="s">
        <v>11352</v>
      </c>
      <c r="O897" s="3" t="s">
        <v>1490</v>
      </c>
      <c r="P897" s="3" t="s">
        <v>3393</v>
      </c>
      <c r="R897" s="3" t="s">
        <v>68</v>
      </c>
      <c r="S897" s="4">
        <v>2</v>
      </c>
      <c r="T897" s="4">
        <v>10</v>
      </c>
      <c r="U897" s="5" t="s">
        <v>11353</v>
      </c>
      <c r="V897" s="5" t="s">
        <v>1937</v>
      </c>
      <c r="W897" s="5" t="s">
        <v>10960</v>
      </c>
      <c r="X897" s="5" t="s">
        <v>10960</v>
      </c>
      <c r="Y897" s="4">
        <v>64</v>
      </c>
      <c r="Z897" s="4">
        <v>44</v>
      </c>
      <c r="AA897" s="4">
        <v>72</v>
      </c>
      <c r="AB897" s="4">
        <v>1</v>
      </c>
      <c r="AC897" s="4">
        <v>2</v>
      </c>
      <c r="AD897" s="4">
        <v>5</v>
      </c>
      <c r="AE897" s="4">
        <v>9</v>
      </c>
      <c r="AF897" s="4">
        <v>1</v>
      </c>
      <c r="AG897" s="4">
        <v>1</v>
      </c>
      <c r="AH897" s="4">
        <v>1</v>
      </c>
      <c r="AI897" s="4">
        <v>2</v>
      </c>
      <c r="AJ897" s="4">
        <v>3</v>
      </c>
      <c r="AK897" s="4">
        <v>5</v>
      </c>
      <c r="AL897" s="4">
        <v>0</v>
      </c>
      <c r="AM897" s="4">
        <v>1</v>
      </c>
      <c r="AN897" s="4">
        <v>0</v>
      </c>
      <c r="AO897" s="4">
        <v>0</v>
      </c>
      <c r="AP897" s="3" t="s">
        <v>132</v>
      </c>
      <c r="AQ897" s="3" t="s">
        <v>58</v>
      </c>
      <c r="AR897" s="6" t="str">
        <f>HYPERLINK("http://catalog.hathitrust.org/Record/100675523","HathiTrust Record")</f>
        <v>HathiTrust Record</v>
      </c>
      <c r="AS897" s="6" t="str">
        <f>HYPERLINK("https://creighton-primo.hosted.exlibrisgroup.com/primo-explore/search?tab=default_tab&amp;search_scope=EVERYTHING&amp;vid=01CRU&amp;lang=en_US&amp;offset=0&amp;query=any,contains,991004164519702656","Catalog Record")</f>
        <v>Catalog Record</v>
      </c>
      <c r="AT897" s="6" t="str">
        <f>HYPERLINK("http://www.worldcat.org/oclc/2562601","WorldCat Record")</f>
        <v>WorldCat Record</v>
      </c>
      <c r="AU897" s="3" t="s">
        <v>11354</v>
      </c>
      <c r="AV897" s="3" t="s">
        <v>11355</v>
      </c>
      <c r="AW897" s="3" t="s">
        <v>11356</v>
      </c>
      <c r="AX897" s="3" t="s">
        <v>11356</v>
      </c>
      <c r="AY897" s="3" t="s">
        <v>11357</v>
      </c>
      <c r="AZ897" s="3" t="s">
        <v>75</v>
      </c>
      <c r="BC897" s="3" t="s">
        <v>11358</v>
      </c>
      <c r="BD897" s="3" t="s">
        <v>11359</v>
      </c>
    </row>
    <row r="898" spans="1:56" ht="39" customHeight="1" x14ac:dyDescent="0.25">
      <c r="A898" s="7" t="s">
        <v>58</v>
      </c>
      <c r="B898" s="2" t="s">
        <v>11347</v>
      </c>
      <c r="C898" s="2" t="s">
        <v>11348</v>
      </c>
      <c r="D898" s="2" t="s">
        <v>11349</v>
      </c>
      <c r="E898" s="3" t="s">
        <v>1902</v>
      </c>
      <c r="F898" s="3" t="s">
        <v>132</v>
      </c>
      <c r="G898" s="3" t="s">
        <v>59</v>
      </c>
      <c r="H898" s="3" t="s">
        <v>58</v>
      </c>
      <c r="I898" s="3" t="s">
        <v>58</v>
      </c>
      <c r="J898" s="3" t="s">
        <v>60</v>
      </c>
      <c r="K898" s="2" t="s">
        <v>11350</v>
      </c>
      <c r="L898" s="2" t="s">
        <v>11351</v>
      </c>
      <c r="M898" s="3" t="s">
        <v>11352</v>
      </c>
      <c r="O898" s="3" t="s">
        <v>1490</v>
      </c>
      <c r="P898" s="3" t="s">
        <v>3393</v>
      </c>
      <c r="R898" s="3" t="s">
        <v>68</v>
      </c>
      <c r="S898" s="4">
        <v>2</v>
      </c>
      <c r="T898" s="4">
        <v>10</v>
      </c>
      <c r="U898" s="5" t="s">
        <v>11353</v>
      </c>
      <c r="V898" s="5" t="s">
        <v>1937</v>
      </c>
      <c r="W898" s="5" t="s">
        <v>10960</v>
      </c>
      <c r="X898" s="5" t="s">
        <v>10960</v>
      </c>
      <c r="Y898" s="4">
        <v>64</v>
      </c>
      <c r="Z898" s="4">
        <v>44</v>
      </c>
      <c r="AA898" s="4">
        <v>72</v>
      </c>
      <c r="AB898" s="4">
        <v>1</v>
      </c>
      <c r="AC898" s="4">
        <v>2</v>
      </c>
      <c r="AD898" s="4">
        <v>5</v>
      </c>
      <c r="AE898" s="4">
        <v>9</v>
      </c>
      <c r="AF898" s="4">
        <v>1</v>
      </c>
      <c r="AG898" s="4">
        <v>1</v>
      </c>
      <c r="AH898" s="4">
        <v>1</v>
      </c>
      <c r="AI898" s="4">
        <v>2</v>
      </c>
      <c r="AJ898" s="4">
        <v>3</v>
      </c>
      <c r="AK898" s="4">
        <v>5</v>
      </c>
      <c r="AL898" s="4">
        <v>0</v>
      </c>
      <c r="AM898" s="4">
        <v>1</v>
      </c>
      <c r="AN898" s="4">
        <v>0</v>
      </c>
      <c r="AO898" s="4">
        <v>0</v>
      </c>
      <c r="AP898" s="3" t="s">
        <v>132</v>
      </c>
      <c r="AQ898" s="3" t="s">
        <v>58</v>
      </c>
      <c r="AR898" s="6" t="str">
        <f>HYPERLINK("http://catalog.hathitrust.org/Record/100675523","HathiTrust Record")</f>
        <v>HathiTrust Record</v>
      </c>
      <c r="AS898" s="6" t="str">
        <f>HYPERLINK("https://creighton-primo.hosted.exlibrisgroup.com/primo-explore/search?tab=default_tab&amp;search_scope=EVERYTHING&amp;vid=01CRU&amp;lang=en_US&amp;offset=0&amp;query=any,contains,991004164519702656","Catalog Record")</f>
        <v>Catalog Record</v>
      </c>
      <c r="AT898" s="6" t="str">
        <f>HYPERLINK("http://www.worldcat.org/oclc/2562601","WorldCat Record")</f>
        <v>WorldCat Record</v>
      </c>
      <c r="AU898" s="3" t="s">
        <v>11354</v>
      </c>
      <c r="AV898" s="3" t="s">
        <v>11355</v>
      </c>
      <c r="AW898" s="3" t="s">
        <v>11356</v>
      </c>
      <c r="AX898" s="3" t="s">
        <v>11356</v>
      </c>
      <c r="AY898" s="3" t="s">
        <v>11357</v>
      </c>
      <c r="AZ898" s="3" t="s">
        <v>75</v>
      </c>
      <c r="BC898" s="3" t="s">
        <v>11360</v>
      </c>
      <c r="BD898" s="3" t="s">
        <v>11361</v>
      </c>
    </row>
    <row r="899" spans="1:56" ht="39" customHeight="1" x14ac:dyDescent="0.25">
      <c r="A899" s="7" t="s">
        <v>58</v>
      </c>
      <c r="B899" s="2" t="s">
        <v>11347</v>
      </c>
      <c r="C899" s="2" t="s">
        <v>11348</v>
      </c>
      <c r="D899" s="2" t="s">
        <v>11349</v>
      </c>
      <c r="E899" s="3" t="s">
        <v>1925</v>
      </c>
      <c r="F899" s="3" t="s">
        <v>132</v>
      </c>
      <c r="G899" s="3" t="s">
        <v>59</v>
      </c>
      <c r="H899" s="3" t="s">
        <v>58</v>
      </c>
      <c r="I899" s="3" t="s">
        <v>58</v>
      </c>
      <c r="J899" s="3" t="s">
        <v>60</v>
      </c>
      <c r="K899" s="2" t="s">
        <v>11350</v>
      </c>
      <c r="L899" s="2" t="s">
        <v>11351</v>
      </c>
      <c r="M899" s="3" t="s">
        <v>11352</v>
      </c>
      <c r="O899" s="3" t="s">
        <v>1490</v>
      </c>
      <c r="P899" s="3" t="s">
        <v>3393</v>
      </c>
      <c r="R899" s="3" t="s">
        <v>68</v>
      </c>
      <c r="S899" s="4">
        <v>2</v>
      </c>
      <c r="T899" s="4">
        <v>10</v>
      </c>
      <c r="U899" s="5" t="s">
        <v>11353</v>
      </c>
      <c r="V899" s="5" t="s">
        <v>1937</v>
      </c>
      <c r="W899" s="5" t="s">
        <v>10960</v>
      </c>
      <c r="X899" s="5" t="s">
        <v>10960</v>
      </c>
      <c r="Y899" s="4">
        <v>64</v>
      </c>
      <c r="Z899" s="4">
        <v>44</v>
      </c>
      <c r="AA899" s="4">
        <v>72</v>
      </c>
      <c r="AB899" s="4">
        <v>1</v>
      </c>
      <c r="AC899" s="4">
        <v>2</v>
      </c>
      <c r="AD899" s="4">
        <v>5</v>
      </c>
      <c r="AE899" s="4">
        <v>9</v>
      </c>
      <c r="AF899" s="4">
        <v>1</v>
      </c>
      <c r="AG899" s="4">
        <v>1</v>
      </c>
      <c r="AH899" s="4">
        <v>1</v>
      </c>
      <c r="AI899" s="4">
        <v>2</v>
      </c>
      <c r="AJ899" s="4">
        <v>3</v>
      </c>
      <c r="AK899" s="4">
        <v>5</v>
      </c>
      <c r="AL899" s="4">
        <v>0</v>
      </c>
      <c r="AM899" s="4">
        <v>1</v>
      </c>
      <c r="AN899" s="4">
        <v>0</v>
      </c>
      <c r="AO899" s="4">
        <v>0</v>
      </c>
      <c r="AP899" s="3" t="s">
        <v>132</v>
      </c>
      <c r="AQ899" s="3" t="s">
        <v>58</v>
      </c>
      <c r="AR899" s="6" t="str">
        <f>HYPERLINK("http://catalog.hathitrust.org/Record/100675523","HathiTrust Record")</f>
        <v>HathiTrust Record</v>
      </c>
      <c r="AS899" s="6" t="str">
        <f>HYPERLINK("https://creighton-primo.hosted.exlibrisgroup.com/primo-explore/search?tab=default_tab&amp;search_scope=EVERYTHING&amp;vid=01CRU&amp;lang=en_US&amp;offset=0&amp;query=any,contains,991004164519702656","Catalog Record")</f>
        <v>Catalog Record</v>
      </c>
      <c r="AT899" s="6" t="str">
        <f>HYPERLINK("http://www.worldcat.org/oclc/2562601","WorldCat Record")</f>
        <v>WorldCat Record</v>
      </c>
      <c r="AU899" s="3" t="s">
        <v>11354</v>
      </c>
      <c r="AV899" s="3" t="s">
        <v>11355</v>
      </c>
      <c r="AW899" s="3" t="s">
        <v>11356</v>
      </c>
      <c r="AX899" s="3" t="s">
        <v>11356</v>
      </c>
      <c r="AY899" s="3" t="s">
        <v>11357</v>
      </c>
      <c r="AZ899" s="3" t="s">
        <v>75</v>
      </c>
      <c r="BC899" s="3" t="s">
        <v>11362</v>
      </c>
      <c r="BD899" s="3" t="s">
        <v>11363</v>
      </c>
    </row>
    <row r="900" spans="1:56" ht="39" customHeight="1" x14ac:dyDescent="0.25">
      <c r="A900" s="7" t="s">
        <v>58</v>
      </c>
      <c r="B900" s="2" t="s">
        <v>11347</v>
      </c>
      <c r="C900" s="2" t="s">
        <v>11348</v>
      </c>
      <c r="D900" s="2" t="s">
        <v>11349</v>
      </c>
      <c r="E900" s="3" t="s">
        <v>1913</v>
      </c>
      <c r="F900" s="3" t="s">
        <v>132</v>
      </c>
      <c r="G900" s="3" t="s">
        <v>59</v>
      </c>
      <c r="H900" s="3" t="s">
        <v>58</v>
      </c>
      <c r="I900" s="3" t="s">
        <v>58</v>
      </c>
      <c r="J900" s="3" t="s">
        <v>60</v>
      </c>
      <c r="K900" s="2" t="s">
        <v>11350</v>
      </c>
      <c r="L900" s="2" t="s">
        <v>11351</v>
      </c>
      <c r="M900" s="3" t="s">
        <v>11352</v>
      </c>
      <c r="O900" s="3" t="s">
        <v>1490</v>
      </c>
      <c r="P900" s="3" t="s">
        <v>3393</v>
      </c>
      <c r="R900" s="3" t="s">
        <v>68</v>
      </c>
      <c r="S900" s="4">
        <v>2</v>
      </c>
      <c r="T900" s="4">
        <v>10</v>
      </c>
      <c r="U900" s="5" t="s">
        <v>1937</v>
      </c>
      <c r="V900" s="5" t="s">
        <v>1937</v>
      </c>
      <c r="W900" s="5" t="s">
        <v>10960</v>
      </c>
      <c r="X900" s="5" t="s">
        <v>10960</v>
      </c>
      <c r="Y900" s="4">
        <v>64</v>
      </c>
      <c r="Z900" s="4">
        <v>44</v>
      </c>
      <c r="AA900" s="4">
        <v>72</v>
      </c>
      <c r="AB900" s="4">
        <v>1</v>
      </c>
      <c r="AC900" s="4">
        <v>2</v>
      </c>
      <c r="AD900" s="4">
        <v>5</v>
      </c>
      <c r="AE900" s="4">
        <v>9</v>
      </c>
      <c r="AF900" s="4">
        <v>1</v>
      </c>
      <c r="AG900" s="4">
        <v>1</v>
      </c>
      <c r="AH900" s="4">
        <v>1</v>
      </c>
      <c r="AI900" s="4">
        <v>2</v>
      </c>
      <c r="AJ900" s="4">
        <v>3</v>
      </c>
      <c r="AK900" s="4">
        <v>5</v>
      </c>
      <c r="AL900" s="4">
        <v>0</v>
      </c>
      <c r="AM900" s="4">
        <v>1</v>
      </c>
      <c r="AN900" s="4">
        <v>0</v>
      </c>
      <c r="AO900" s="4">
        <v>0</v>
      </c>
      <c r="AP900" s="3" t="s">
        <v>132</v>
      </c>
      <c r="AQ900" s="3" t="s">
        <v>58</v>
      </c>
      <c r="AR900" s="6" t="str">
        <f>HYPERLINK("http://catalog.hathitrust.org/Record/100675523","HathiTrust Record")</f>
        <v>HathiTrust Record</v>
      </c>
      <c r="AS900" s="6" t="str">
        <f>HYPERLINK("https://creighton-primo.hosted.exlibrisgroup.com/primo-explore/search?tab=default_tab&amp;search_scope=EVERYTHING&amp;vid=01CRU&amp;lang=en_US&amp;offset=0&amp;query=any,contains,991004164519702656","Catalog Record")</f>
        <v>Catalog Record</v>
      </c>
      <c r="AT900" s="6" t="str">
        <f>HYPERLINK("http://www.worldcat.org/oclc/2562601","WorldCat Record")</f>
        <v>WorldCat Record</v>
      </c>
      <c r="AU900" s="3" t="s">
        <v>11354</v>
      </c>
      <c r="AV900" s="3" t="s">
        <v>11355</v>
      </c>
      <c r="AW900" s="3" t="s">
        <v>11356</v>
      </c>
      <c r="AX900" s="3" t="s">
        <v>11356</v>
      </c>
      <c r="AY900" s="3" t="s">
        <v>11357</v>
      </c>
      <c r="AZ900" s="3" t="s">
        <v>75</v>
      </c>
      <c r="BC900" s="3" t="s">
        <v>11364</v>
      </c>
      <c r="BD900" s="3" t="s">
        <v>11365</v>
      </c>
    </row>
    <row r="901" spans="1:56" ht="39" customHeight="1" x14ac:dyDescent="0.25">
      <c r="A901" s="7" t="s">
        <v>58</v>
      </c>
      <c r="B901" s="2" t="s">
        <v>11347</v>
      </c>
      <c r="C901" s="2" t="s">
        <v>11348</v>
      </c>
      <c r="D901" s="2" t="s">
        <v>11349</v>
      </c>
      <c r="E901" s="3" t="s">
        <v>1928</v>
      </c>
      <c r="F901" s="3" t="s">
        <v>132</v>
      </c>
      <c r="G901" s="3" t="s">
        <v>59</v>
      </c>
      <c r="H901" s="3" t="s">
        <v>58</v>
      </c>
      <c r="I901" s="3" t="s">
        <v>58</v>
      </c>
      <c r="J901" s="3" t="s">
        <v>60</v>
      </c>
      <c r="K901" s="2" t="s">
        <v>11350</v>
      </c>
      <c r="L901" s="2" t="s">
        <v>11351</v>
      </c>
      <c r="M901" s="3" t="s">
        <v>11352</v>
      </c>
      <c r="O901" s="3" t="s">
        <v>1490</v>
      </c>
      <c r="P901" s="3" t="s">
        <v>3393</v>
      </c>
      <c r="R901" s="3" t="s">
        <v>68</v>
      </c>
      <c r="S901" s="4">
        <v>2</v>
      </c>
      <c r="T901" s="4">
        <v>10</v>
      </c>
      <c r="U901" s="5" t="s">
        <v>1937</v>
      </c>
      <c r="V901" s="5" t="s">
        <v>1937</v>
      </c>
      <c r="W901" s="5" t="s">
        <v>10960</v>
      </c>
      <c r="X901" s="5" t="s">
        <v>10960</v>
      </c>
      <c r="Y901" s="4">
        <v>64</v>
      </c>
      <c r="Z901" s="4">
        <v>44</v>
      </c>
      <c r="AA901" s="4">
        <v>72</v>
      </c>
      <c r="AB901" s="4">
        <v>1</v>
      </c>
      <c r="AC901" s="4">
        <v>2</v>
      </c>
      <c r="AD901" s="4">
        <v>5</v>
      </c>
      <c r="AE901" s="4">
        <v>9</v>
      </c>
      <c r="AF901" s="4">
        <v>1</v>
      </c>
      <c r="AG901" s="4">
        <v>1</v>
      </c>
      <c r="AH901" s="4">
        <v>1</v>
      </c>
      <c r="AI901" s="4">
        <v>2</v>
      </c>
      <c r="AJ901" s="4">
        <v>3</v>
      </c>
      <c r="AK901" s="4">
        <v>5</v>
      </c>
      <c r="AL901" s="4">
        <v>0</v>
      </c>
      <c r="AM901" s="4">
        <v>1</v>
      </c>
      <c r="AN901" s="4">
        <v>0</v>
      </c>
      <c r="AO901" s="4">
        <v>0</v>
      </c>
      <c r="AP901" s="3" t="s">
        <v>132</v>
      </c>
      <c r="AQ901" s="3" t="s">
        <v>58</v>
      </c>
      <c r="AR901" s="6" t="str">
        <f>HYPERLINK("http://catalog.hathitrust.org/Record/100675523","HathiTrust Record")</f>
        <v>HathiTrust Record</v>
      </c>
      <c r="AS901" s="6" t="str">
        <f>HYPERLINK("https://creighton-primo.hosted.exlibrisgroup.com/primo-explore/search?tab=default_tab&amp;search_scope=EVERYTHING&amp;vid=01CRU&amp;lang=en_US&amp;offset=0&amp;query=any,contains,991004164519702656","Catalog Record")</f>
        <v>Catalog Record</v>
      </c>
      <c r="AT901" s="6" t="str">
        <f>HYPERLINK("http://www.worldcat.org/oclc/2562601","WorldCat Record")</f>
        <v>WorldCat Record</v>
      </c>
      <c r="AU901" s="3" t="s">
        <v>11354</v>
      </c>
      <c r="AV901" s="3" t="s">
        <v>11355</v>
      </c>
      <c r="AW901" s="3" t="s">
        <v>11356</v>
      </c>
      <c r="AX901" s="3" t="s">
        <v>11356</v>
      </c>
      <c r="AY901" s="3" t="s">
        <v>11357</v>
      </c>
      <c r="AZ901" s="3" t="s">
        <v>75</v>
      </c>
      <c r="BC901" s="3" t="s">
        <v>11366</v>
      </c>
      <c r="BD901" s="3" t="s">
        <v>11367</v>
      </c>
    </row>
    <row r="902" spans="1:56" ht="39" customHeight="1" x14ac:dyDescent="0.25">
      <c r="A902" s="7" t="s">
        <v>58</v>
      </c>
      <c r="B902" s="2" t="s">
        <v>11368</v>
      </c>
      <c r="C902" s="2" t="s">
        <v>11369</v>
      </c>
      <c r="D902" s="2" t="s">
        <v>11370</v>
      </c>
      <c r="F902" s="3" t="s">
        <v>58</v>
      </c>
      <c r="G902" s="3" t="s">
        <v>59</v>
      </c>
      <c r="H902" s="3" t="s">
        <v>58</v>
      </c>
      <c r="I902" s="3" t="s">
        <v>58</v>
      </c>
      <c r="J902" s="3" t="s">
        <v>60</v>
      </c>
      <c r="K902" s="2" t="s">
        <v>11371</v>
      </c>
      <c r="L902" s="2" t="s">
        <v>11372</v>
      </c>
      <c r="M902" s="3" t="s">
        <v>953</v>
      </c>
      <c r="O902" s="3" t="s">
        <v>65</v>
      </c>
      <c r="P902" s="3" t="s">
        <v>954</v>
      </c>
      <c r="Q902" s="2" t="s">
        <v>11373</v>
      </c>
      <c r="R902" s="3" t="s">
        <v>68</v>
      </c>
      <c r="S902" s="4">
        <v>5</v>
      </c>
      <c r="T902" s="4">
        <v>5</v>
      </c>
      <c r="U902" s="5" t="s">
        <v>11374</v>
      </c>
      <c r="V902" s="5" t="s">
        <v>11374</v>
      </c>
      <c r="W902" s="5" t="s">
        <v>10960</v>
      </c>
      <c r="X902" s="5" t="s">
        <v>10960</v>
      </c>
      <c r="Y902" s="4">
        <v>463</v>
      </c>
      <c r="Z902" s="4">
        <v>421</v>
      </c>
      <c r="AA902" s="4">
        <v>432</v>
      </c>
      <c r="AB902" s="4">
        <v>6</v>
      </c>
      <c r="AC902" s="4">
        <v>6</v>
      </c>
      <c r="AD902" s="4">
        <v>21</v>
      </c>
      <c r="AE902" s="4">
        <v>21</v>
      </c>
      <c r="AF902" s="4">
        <v>5</v>
      </c>
      <c r="AG902" s="4">
        <v>5</v>
      </c>
      <c r="AH902" s="4">
        <v>4</v>
      </c>
      <c r="AI902" s="4">
        <v>4</v>
      </c>
      <c r="AJ902" s="4">
        <v>12</v>
      </c>
      <c r="AK902" s="4">
        <v>12</v>
      </c>
      <c r="AL902" s="4">
        <v>5</v>
      </c>
      <c r="AM902" s="4">
        <v>5</v>
      </c>
      <c r="AN902" s="4">
        <v>0</v>
      </c>
      <c r="AO902" s="4">
        <v>0</v>
      </c>
      <c r="AP902" s="3" t="s">
        <v>58</v>
      </c>
      <c r="AQ902" s="3" t="s">
        <v>58</v>
      </c>
      <c r="AR902" s="6" t="str">
        <f>HYPERLINK("http://catalog.hathitrust.org/Record/001415078","HathiTrust Record")</f>
        <v>HathiTrust Record</v>
      </c>
      <c r="AS902" s="6" t="str">
        <f>HYPERLINK("https://creighton-primo.hosted.exlibrisgroup.com/primo-explore/search?tab=default_tab&amp;search_scope=EVERYTHING&amp;vid=01CRU&amp;lang=en_US&amp;offset=0&amp;query=any,contains,991002645609702656","Catalog Record")</f>
        <v>Catalog Record</v>
      </c>
      <c r="AT902" s="6" t="str">
        <f>HYPERLINK("http://www.worldcat.org/oclc/385743","WorldCat Record")</f>
        <v>WorldCat Record</v>
      </c>
      <c r="AU902" s="3" t="s">
        <v>11375</v>
      </c>
      <c r="AV902" s="3" t="s">
        <v>11376</v>
      </c>
      <c r="AW902" s="3" t="s">
        <v>11377</v>
      </c>
      <c r="AX902" s="3" t="s">
        <v>11377</v>
      </c>
      <c r="AY902" s="3" t="s">
        <v>11378</v>
      </c>
      <c r="AZ902" s="3" t="s">
        <v>75</v>
      </c>
      <c r="BC902" s="3" t="s">
        <v>11379</v>
      </c>
      <c r="BD902" s="3" t="s">
        <v>11380</v>
      </c>
    </row>
    <row r="903" spans="1:56" ht="39" customHeight="1" x14ac:dyDescent="0.25">
      <c r="A903" s="7" t="s">
        <v>58</v>
      </c>
      <c r="B903" s="2" t="s">
        <v>11381</v>
      </c>
      <c r="C903" s="2" t="s">
        <v>11382</v>
      </c>
      <c r="D903" s="2" t="s">
        <v>11383</v>
      </c>
      <c r="F903" s="3" t="s">
        <v>58</v>
      </c>
      <c r="G903" s="3" t="s">
        <v>59</v>
      </c>
      <c r="H903" s="3" t="s">
        <v>58</v>
      </c>
      <c r="I903" s="3" t="s">
        <v>58</v>
      </c>
      <c r="J903" s="3" t="s">
        <v>60</v>
      </c>
      <c r="K903" s="2" t="s">
        <v>11384</v>
      </c>
      <c r="L903" s="2" t="s">
        <v>11385</v>
      </c>
      <c r="M903" s="3" t="s">
        <v>11386</v>
      </c>
      <c r="O903" s="3" t="s">
        <v>65</v>
      </c>
      <c r="P903" s="3" t="s">
        <v>66</v>
      </c>
      <c r="Q903" s="2" t="s">
        <v>11387</v>
      </c>
      <c r="R903" s="3" t="s">
        <v>68</v>
      </c>
      <c r="S903" s="4">
        <v>2</v>
      </c>
      <c r="T903" s="4">
        <v>2</v>
      </c>
      <c r="U903" s="5" t="s">
        <v>1247</v>
      </c>
      <c r="V903" s="5" t="s">
        <v>1247</v>
      </c>
      <c r="W903" s="5" t="s">
        <v>10960</v>
      </c>
      <c r="X903" s="5" t="s">
        <v>10960</v>
      </c>
      <c r="Y903" s="4">
        <v>54</v>
      </c>
      <c r="Z903" s="4">
        <v>48</v>
      </c>
      <c r="AA903" s="4">
        <v>49</v>
      </c>
      <c r="AB903" s="4">
        <v>1</v>
      </c>
      <c r="AC903" s="4">
        <v>1</v>
      </c>
      <c r="AD903" s="4">
        <v>11</v>
      </c>
      <c r="AE903" s="4">
        <v>11</v>
      </c>
      <c r="AF903" s="4">
        <v>1</v>
      </c>
      <c r="AG903" s="4">
        <v>1</v>
      </c>
      <c r="AH903" s="4">
        <v>4</v>
      </c>
      <c r="AI903" s="4">
        <v>4</v>
      </c>
      <c r="AJ903" s="4">
        <v>9</v>
      </c>
      <c r="AK903" s="4">
        <v>9</v>
      </c>
      <c r="AL903" s="4">
        <v>0</v>
      </c>
      <c r="AM903" s="4">
        <v>0</v>
      </c>
      <c r="AN903" s="4">
        <v>0</v>
      </c>
      <c r="AO903" s="4">
        <v>0</v>
      </c>
      <c r="AP903" s="3" t="s">
        <v>58</v>
      </c>
      <c r="AQ903" s="3" t="s">
        <v>58</v>
      </c>
      <c r="AS903" s="6" t="str">
        <f>HYPERLINK("https://creighton-primo.hosted.exlibrisgroup.com/primo-explore/search?tab=default_tab&amp;search_scope=EVERYTHING&amp;vid=01CRU&amp;lang=en_US&amp;offset=0&amp;query=any,contains,991004510719702656","Catalog Record")</f>
        <v>Catalog Record</v>
      </c>
      <c r="AT903" s="6" t="str">
        <f>HYPERLINK("http://www.worldcat.org/oclc/3763058","WorldCat Record")</f>
        <v>WorldCat Record</v>
      </c>
      <c r="AU903" s="3" t="s">
        <v>11388</v>
      </c>
      <c r="AV903" s="3" t="s">
        <v>11389</v>
      </c>
      <c r="AW903" s="3" t="s">
        <v>11390</v>
      </c>
      <c r="AX903" s="3" t="s">
        <v>11390</v>
      </c>
      <c r="AY903" s="3" t="s">
        <v>11391</v>
      </c>
      <c r="AZ903" s="3" t="s">
        <v>75</v>
      </c>
      <c r="BC903" s="3" t="s">
        <v>11392</v>
      </c>
      <c r="BD903" s="3" t="s">
        <v>11393</v>
      </c>
    </row>
    <row r="904" spans="1:56" ht="39" customHeight="1" x14ac:dyDescent="0.25">
      <c r="A904" s="7" t="s">
        <v>58</v>
      </c>
      <c r="B904" s="2" t="s">
        <v>11394</v>
      </c>
      <c r="C904" s="2" t="s">
        <v>11395</v>
      </c>
      <c r="D904" s="2" t="s">
        <v>11396</v>
      </c>
      <c r="F904" s="3" t="s">
        <v>58</v>
      </c>
      <c r="G904" s="3" t="s">
        <v>59</v>
      </c>
      <c r="H904" s="3" t="s">
        <v>58</v>
      </c>
      <c r="I904" s="3" t="s">
        <v>58</v>
      </c>
      <c r="J904" s="3" t="s">
        <v>60</v>
      </c>
      <c r="K904" s="2" t="s">
        <v>11397</v>
      </c>
      <c r="L904" s="2" t="s">
        <v>11398</v>
      </c>
      <c r="M904" s="3" t="s">
        <v>11399</v>
      </c>
      <c r="O904" s="3" t="s">
        <v>65</v>
      </c>
      <c r="P904" s="3" t="s">
        <v>66</v>
      </c>
      <c r="R904" s="3" t="s">
        <v>68</v>
      </c>
      <c r="S904" s="4">
        <v>4</v>
      </c>
      <c r="T904" s="4">
        <v>4</v>
      </c>
      <c r="U904" s="5" t="s">
        <v>11400</v>
      </c>
      <c r="V904" s="5" t="s">
        <v>11400</v>
      </c>
      <c r="W904" s="5" t="s">
        <v>10960</v>
      </c>
      <c r="X904" s="5" t="s">
        <v>10960</v>
      </c>
      <c r="Y904" s="4">
        <v>73</v>
      </c>
      <c r="Z904" s="4">
        <v>51</v>
      </c>
      <c r="AA904" s="4">
        <v>72</v>
      </c>
      <c r="AB904" s="4">
        <v>1</v>
      </c>
      <c r="AC904" s="4">
        <v>1</v>
      </c>
      <c r="AD904" s="4">
        <v>7</v>
      </c>
      <c r="AE904" s="4">
        <v>7</v>
      </c>
      <c r="AF904" s="4">
        <v>0</v>
      </c>
      <c r="AG904" s="4">
        <v>0</v>
      </c>
      <c r="AH904" s="4">
        <v>2</v>
      </c>
      <c r="AI904" s="4">
        <v>2</v>
      </c>
      <c r="AJ904" s="4">
        <v>5</v>
      </c>
      <c r="AK904" s="4">
        <v>5</v>
      </c>
      <c r="AL904" s="4">
        <v>0</v>
      </c>
      <c r="AM904" s="4">
        <v>0</v>
      </c>
      <c r="AN904" s="4">
        <v>0</v>
      </c>
      <c r="AO904" s="4">
        <v>0</v>
      </c>
      <c r="AP904" s="3" t="s">
        <v>58</v>
      </c>
      <c r="AQ904" s="3" t="s">
        <v>58</v>
      </c>
      <c r="AS904" s="6" t="str">
        <f>HYPERLINK("https://creighton-primo.hosted.exlibrisgroup.com/primo-explore/search?tab=default_tab&amp;search_scope=EVERYTHING&amp;vid=01CRU&amp;lang=en_US&amp;offset=0&amp;query=any,contains,991004442479702656","Catalog Record")</f>
        <v>Catalog Record</v>
      </c>
      <c r="AT904" s="6" t="str">
        <f>HYPERLINK("http://www.worldcat.org/oclc/3469970","WorldCat Record")</f>
        <v>WorldCat Record</v>
      </c>
      <c r="AU904" s="3" t="s">
        <v>11401</v>
      </c>
      <c r="AV904" s="3" t="s">
        <v>11402</v>
      </c>
      <c r="AW904" s="3" t="s">
        <v>11403</v>
      </c>
      <c r="AX904" s="3" t="s">
        <v>11403</v>
      </c>
      <c r="AY904" s="3" t="s">
        <v>11404</v>
      </c>
      <c r="AZ904" s="3" t="s">
        <v>75</v>
      </c>
      <c r="BC904" s="3" t="s">
        <v>11405</v>
      </c>
      <c r="BD904" s="3" t="s">
        <v>11406</v>
      </c>
    </row>
    <row r="905" spans="1:56" ht="39" customHeight="1" x14ac:dyDescent="0.25">
      <c r="A905" s="7" t="s">
        <v>58</v>
      </c>
      <c r="B905" s="2" t="s">
        <v>11407</v>
      </c>
      <c r="C905" s="2" t="s">
        <v>11408</v>
      </c>
      <c r="D905" s="2" t="s">
        <v>11409</v>
      </c>
      <c r="F905" s="3" t="s">
        <v>58</v>
      </c>
      <c r="G905" s="3" t="s">
        <v>59</v>
      </c>
      <c r="H905" s="3" t="s">
        <v>58</v>
      </c>
      <c r="I905" s="3" t="s">
        <v>58</v>
      </c>
      <c r="J905" s="3" t="s">
        <v>60</v>
      </c>
      <c r="K905" s="2" t="s">
        <v>11410</v>
      </c>
      <c r="L905" s="2" t="s">
        <v>11411</v>
      </c>
      <c r="M905" s="3" t="s">
        <v>11412</v>
      </c>
      <c r="N905" s="2" t="s">
        <v>11413</v>
      </c>
      <c r="O905" s="3" t="s">
        <v>65</v>
      </c>
      <c r="P905" s="3" t="s">
        <v>954</v>
      </c>
      <c r="R905" s="3" t="s">
        <v>68</v>
      </c>
      <c r="S905" s="4">
        <v>1</v>
      </c>
      <c r="T905" s="4">
        <v>1</v>
      </c>
      <c r="U905" s="5" t="s">
        <v>11414</v>
      </c>
      <c r="V905" s="5" t="s">
        <v>11414</v>
      </c>
      <c r="W905" s="5" t="s">
        <v>10960</v>
      </c>
      <c r="X905" s="5" t="s">
        <v>10960</v>
      </c>
      <c r="Y905" s="4">
        <v>30</v>
      </c>
      <c r="Z905" s="4">
        <v>26</v>
      </c>
      <c r="AA905" s="4">
        <v>88</v>
      </c>
      <c r="AB905" s="4">
        <v>1</v>
      </c>
      <c r="AC905" s="4">
        <v>1</v>
      </c>
      <c r="AD905" s="4">
        <v>7</v>
      </c>
      <c r="AE905" s="4">
        <v>14</v>
      </c>
      <c r="AF905" s="4">
        <v>1</v>
      </c>
      <c r="AG905" s="4">
        <v>3</v>
      </c>
      <c r="AH905" s="4">
        <v>2</v>
      </c>
      <c r="AI905" s="4">
        <v>5</v>
      </c>
      <c r="AJ905" s="4">
        <v>5</v>
      </c>
      <c r="AK905" s="4">
        <v>11</v>
      </c>
      <c r="AL905" s="4">
        <v>0</v>
      </c>
      <c r="AM905" s="4">
        <v>0</v>
      </c>
      <c r="AN905" s="4">
        <v>0</v>
      </c>
      <c r="AO905" s="4">
        <v>0</v>
      </c>
      <c r="AP905" s="3" t="s">
        <v>58</v>
      </c>
      <c r="AQ905" s="3" t="s">
        <v>58</v>
      </c>
      <c r="AS905" s="6" t="str">
        <f>HYPERLINK("https://creighton-primo.hosted.exlibrisgroup.com/primo-explore/search?tab=default_tab&amp;search_scope=EVERYTHING&amp;vid=01CRU&amp;lang=en_US&amp;offset=0&amp;query=any,contains,991002996349702656","Catalog Record")</f>
        <v>Catalog Record</v>
      </c>
      <c r="AT905" s="6" t="str">
        <f>HYPERLINK("http://www.worldcat.org/oclc/564822","WorldCat Record")</f>
        <v>WorldCat Record</v>
      </c>
      <c r="AU905" s="3" t="s">
        <v>11415</v>
      </c>
      <c r="AV905" s="3" t="s">
        <v>11416</v>
      </c>
      <c r="AW905" s="3" t="s">
        <v>11417</v>
      </c>
      <c r="AX905" s="3" t="s">
        <v>11417</v>
      </c>
      <c r="AY905" s="3" t="s">
        <v>11418</v>
      </c>
      <c r="AZ905" s="3" t="s">
        <v>75</v>
      </c>
      <c r="BC905" s="3" t="s">
        <v>11419</v>
      </c>
      <c r="BD905" s="3" t="s">
        <v>11420</v>
      </c>
    </row>
    <row r="906" spans="1:56" ht="39" customHeight="1" x14ac:dyDescent="0.25">
      <c r="A906" s="7" t="s">
        <v>58</v>
      </c>
      <c r="B906" s="2" t="s">
        <v>11421</v>
      </c>
      <c r="C906" s="2" t="s">
        <v>11422</v>
      </c>
      <c r="D906" s="2" t="s">
        <v>11423</v>
      </c>
      <c r="F906" s="3" t="s">
        <v>58</v>
      </c>
      <c r="G906" s="3" t="s">
        <v>59</v>
      </c>
      <c r="H906" s="3" t="s">
        <v>58</v>
      </c>
      <c r="I906" s="3" t="s">
        <v>58</v>
      </c>
      <c r="J906" s="3" t="s">
        <v>60</v>
      </c>
      <c r="K906" s="2" t="s">
        <v>11424</v>
      </c>
      <c r="L906" s="2" t="s">
        <v>11425</v>
      </c>
      <c r="M906" s="3" t="s">
        <v>3163</v>
      </c>
      <c r="O906" s="3" t="s">
        <v>1490</v>
      </c>
      <c r="P906" s="3" t="s">
        <v>3393</v>
      </c>
      <c r="R906" s="3" t="s">
        <v>68</v>
      </c>
      <c r="S906" s="4">
        <v>2</v>
      </c>
      <c r="T906" s="4">
        <v>2</v>
      </c>
      <c r="U906" s="5" t="s">
        <v>11426</v>
      </c>
      <c r="V906" s="5" t="s">
        <v>11426</v>
      </c>
      <c r="W906" s="5" t="s">
        <v>10960</v>
      </c>
      <c r="X906" s="5" t="s">
        <v>10960</v>
      </c>
      <c r="Y906" s="4">
        <v>23</v>
      </c>
      <c r="Z906" s="4">
        <v>19</v>
      </c>
      <c r="AA906" s="4">
        <v>25</v>
      </c>
      <c r="AB906" s="4">
        <v>1</v>
      </c>
      <c r="AC906" s="4">
        <v>1</v>
      </c>
      <c r="AD906" s="4">
        <v>6</v>
      </c>
      <c r="AE906" s="4">
        <v>10</v>
      </c>
      <c r="AF906" s="4">
        <v>1</v>
      </c>
      <c r="AG906" s="4">
        <v>2</v>
      </c>
      <c r="AH906" s="4">
        <v>2</v>
      </c>
      <c r="AI906" s="4">
        <v>4</v>
      </c>
      <c r="AJ906" s="4">
        <v>5</v>
      </c>
      <c r="AK906" s="4">
        <v>8</v>
      </c>
      <c r="AL906" s="4">
        <v>0</v>
      </c>
      <c r="AM906" s="4">
        <v>0</v>
      </c>
      <c r="AN906" s="4">
        <v>0</v>
      </c>
      <c r="AO906" s="4">
        <v>0</v>
      </c>
      <c r="AP906" s="3" t="s">
        <v>58</v>
      </c>
      <c r="AQ906" s="3" t="s">
        <v>132</v>
      </c>
      <c r="AR906" s="6" t="str">
        <f>HYPERLINK("http://catalog.hathitrust.org/Record/006638904","HathiTrust Record")</f>
        <v>HathiTrust Record</v>
      </c>
      <c r="AS906" s="6" t="str">
        <f>HYPERLINK("https://creighton-primo.hosted.exlibrisgroup.com/primo-explore/search?tab=default_tab&amp;search_scope=EVERYTHING&amp;vid=01CRU&amp;lang=en_US&amp;offset=0&amp;query=any,contains,991004586469702656","Catalog Record")</f>
        <v>Catalog Record</v>
      </c>
      <c r="AT906" s="6" t="str">
        <f>HYPERLINK("http://www.worldcat.org/oclc/4091715","WorldCat Record")</f>
        <v>WorldCat Record</v>
      </c>
      <c r="AU906" s="3" t="s">
        <v>11427</v>
      </c>
      <c r="AV906" s="3" t="s">
        <v>11428</v>
      </c>
      <c r="AW906" s="3" t="s">
        <v>11429</v>
      </c>
      <c r="AX906" s="3" t="s">
        <v>11429</v>
      </c>
      <c r="AY906" s="3" t="s">
        <v>11430</v>
      </c>
      <c r="AZ906" s="3" t="s">
        <v>75</v>
      </c>
      <c r="BC906" s="3" t="s">
        <v>11431</v>
      </c>
      <c r="BD906" s="3" t="s">
        <v>11432</v>
      </c>
    </row>
    <row r="907" spans="1:56" ht="39" customHeight="1" x14ac:dyDescent="0.25">
      <c r="A907" s="7" t="s">
        <v>58</v>
      </c>
      <c r="B907" s="2" t="s">
        <v>11433</v>
      </c>
      <c r="C907" s="2" t="s">
        <v>11434</v>
      </c>
      <c r="D907" s="2" t="s">
        <v>11435</v>
      </c>
      <c r="F907" s="3" t="s">
        <v>58</v>
      </c>
      <c r="G907" s="3" t="s">
        <v>59</v>
      </c>
      <c r="H907" s="3" t="s">
        <v>58</v>
      </c>
      <c r="I907" s="3" t="s">
        <v>58</v>
      </c>
      <c r="J907" s="3" t="s">
        <v>60</v>
      </c>
      <c r="K907" s="2" t="s">
        <v>11059</v>
      </c>
      <c r="L907" s="2" t="s">
        <v>11436</v>
      </c>
      <c r="M907" s="3" t="s">
        <v>2179</v>
      </c>
      <c r="O907" s="3" t="s">
        <v>65</v>
      </c>
      <c r="P907" s="3" t="s">
        <v>1345</v>
      </c>
      <c r="R907" s="3" t="s">
        <v>68</v>
      </c>
      <c r="S907" s="4">
        <v>4</v>
      </c>
      <c r="T907" s="4">
        <v>4</v>
      </c>
      <c r="U907" s="5" t="s">
        <v>11400</v>
      </c>
      <c r="V907" s="5" t="s">
        <v>11400</v>
      </c>
      <c r="W907" s="5" t="s">
        <v>10960</v>
      </c>
      <c r="X907" s="5" t="s">
        <v>10960</v>
      </c>
      <c r="Y907" s="4">
        <v>116</v>
      </c>
      <c r="Z907" s="4">
        <v>106</v>
      </c>
      <c r="AA907" s="4">
        <v>126</v>
      </c>
      <c r="AB907" s="4">
        <v>2</v>
      </c>
      <c r="AC907" s="4">
        <v>2</v>
      </c>
      <c r="AD907" s="4">
        <v>15</v>
      </c>
      <c r="AE907" s="4">
        <v>16</v>
      </c>
      <c r="AF907" s="4">
        <v>5</v>
      </c>
      <c r="AG907" s="4">
        <v>5</v>
      </c>
      <c r="AH907" s="4">
        <v>4</v>
      </c>
      <c r="AI907" s="4">
        <v>4</v>
      </c>
      <c r="AJ907" s="4">
        <v>11</v>
      </c>
      <c r="AK907" s="4">
        <v>12</v>
      </c>
      <c r="AL907" s="4">
        <v>0</v>
      </c>
      <c r="AM907" s="4">
        <v>0</v>
      </c>
      <c r="AN907" s="4">
        <v>0</v>
      </c>
      <c r="AO907" s="4">
        <v>0</v>
      </c>
      <c r="AP907" s="3" t="s">
        <v>58</v>
      </c>
      <c r="AQ907" s="3" t="s">
        <v>58</v>
      </c>
      <c r="AS907" s="6" t="str">
        <f>HYPERLINK("https://creighton-primo.hosted.exlibrisgroup.com/primo-explore/search?tab=default_tab&amp;search_scope=EVERYTHING&amp;vid=01CRU&amp;lang=en_US&amp;offset=0&amp;query=any,contains,991003924109702656","Catalog Record")</f>
        <v>Catalog Record</v>
      </c>
      <c r="AT907" s="6" t="str">
        <f>HYPERLINK("http://www.worldcat.org/oclc/1878606","WorldCat Record")</f>
        <v>WorldCat Record</v>
      </c>
      <c r="AU907" s="3" t="s">
        <v>11437</v>
      </c>
      <c r="AV907" s="3" t="s">
        <v>11438</v>
      </c>
      <c r="AW907" s="3" t="s">
        <v>11439</v>
      </c>
      <c r="AX907" s="3" t="s">
        <v>11439</v>
      </c>
      <c r="AY907" s="3" t="s">
        <v>11440</v>
      </c>
      <c r="AZ907" s="3" t="s">
        <v>75</v>
      </c>
      <c r="BC907" s="3" t="s">
        <v>11441</v>
      </c>
      <c r="BD907" s="3" t="s">
        <v>11442</v>
      </c>
    </row>
    <row r="908" spans="1:56" ht="39" customHeight="1" x14ac:dyDescent="0.25">
      <c r="A908" s="7" t="s">
        <v>58</v>
      </c>
      <c r="B908" s="2" t="s">
        <v>11443</v>
      </c>
      <c r="C908" s="2" t="s">
        <v>11444</v>
      </c>
      <c r="D908" s="2" t="s">
        <v>11445</v>
      </c>
      <c r="F908" s="3" t="s">
        <v>58</v>
      </c>
      <c r="G908" s="3" t="s">
        <v>59</v>
      </c>
      <c r="H908" s="3" t="s">
        <v>58</v>
      </c>
      <c r="I908" s="3" t="s">
        <v>58</v>
      </c>
      <c r="J908" s="3" t="s">
        <v>60</v>
      </c>
      <c r="K908" s="2" t="s">
        <v>11446</v>
      </c>
      <c r="L908" s="2" t="s">
        <v>11447</v>
      </c>
      <c r="M908" s="3" t="s">
        <v>11448</v>
      </c>
      <c r="O908" s="3" t="s">
        <v>65</v>
      </c>
      <c r="P908" s="3" t="s">
        <v>66</v>
      </c>
      <c r="R908" s="3" t="s">
        <v>68</v>
      </c>
      <c r="S908" s="4">
        <v>2</v>
      </c>
      <c r="T908" s="4">
        <v>2</v>
      </c>
      <c r="U908" s="5" t="s">
        <v>11449</v>
      </c>
      <c r="V908" s="5" t="s">
        <v>11449</v>
      </c>
      <c r="W908" s="5" t="s">
        <v>10960</v>
      </c>
      <c r="X908" s="5" t="s">
        <v>10960</v>
      </c>
      <c r="Y908" s="4">
        <v>63</v>
      </c>
      <c r="Z908" s="4">
        <v>49</v>
      </c>
      <c r="AA908" s="4">
        <v>75</v>
      </c>
      <c r="AB908" s="4">
        <v>1</v>
      </c>
      <c r="AC908" s="4">
        <v>2</v>
      </c>
      <c r="AD908" s="4">
        <v>9</v>
      </c>
      <c r="AE908" s="4">
        <v>14</v>
      </c>
      <c r="AF908" s="4">
        <v>4</v>
      </c>
      <c r="AG908" s="4">
        <v>4</v>
      </c>
      <c r="AH908" s="4">
        <v>3</v>
      </c>
      <c r="AI908" s="4">
        <v>4</v>
      </c>
      <c r="AJ908" s="4">
        <v>7</v>
      </c>
      <c r="AK908" s="4">
        <v>10</v>
      </c>
      <c r="AL908" s="4">
        <v>0</v>
      </c>
      <c r="AM908" s="4">
        <v>1</v>
      </c>
      <c r="AN908" s="4">
        <v>0</v>
      </c>
      <c r="AO908" s="4">
        <v>0</v>
      </c>
      <c r="AP908" s="3" t="s">
        <v>132</v>
      </c>
      <c r="AQ908" s="3" t="s">
        <v>58</v>
      </c>
      <c r="AR908" s="6" t="str">
        <f>HYPERLINK("http://catalog.hathitrust.org/Record/008731142","HathiTrust Record")</f>
        <v>HathiTrust Record</v>
      </c>
      <c r="AS908" s="6" t="str">
        <f>HYPERLINK("https://creighton-primo.hosted.exlibrisgroup.com/primo-explore/search?tab=default_tab&amp;search_scope=EVERYTHING&amp;vid=01CRU&amp;lang=en_US&amp;offset=0&amp;query=any,contains,991000365149702656","Catalog Record")</f>
        <v>Catalog Record</v>
      </c>
      <c r="AT908" s="6" t="str">
        <f>HYPERLINK("http://www.worldcat.org/oclc/10399933","WorldCat Record")</f>
        <v>WorldCat Record</v>
      </c>
      <c r="AU908" s="3" t="s">
        <v>11450</v>
      </c>
      <c r="AV908" s="3" t="s">
        <v>11451</v>
      </c>
      <c r="AW908" s="3" t="s">
        <v>11452</v>
      </c>
      <c r="AX908" s="3" t="s">
        <v>11452</v>
      </c>
      <c r="AY908" s="3" t="s">
        <v>11453</v>
      </c>
      <c r="AZ908" s="3" t="s">
        <v>75</v>
      </c>
      <c r="BC908" s="3" t="s">
        <v>11454</v>
      </c>
      <c r="BD908" s="3" t="s">
        <v>11455</v>
      </c>
    </row>
    <row r="909" spans="1:56" ht="39" customHeight="1" x14ac:dyDescent="0.25">
      <c r="A909" s="7" t="s">
        <v>58</v>
      </c>
      <c r="B909" s="2" t="s">
        <v>11456</v>
      </c>
      <c r="C909" s="2" t="s">
        <v>11457</v>
      </c>
      <c r="D909" s="2" t="s">
        <v>11458</v>
      </c>
      <c r="F909" s="3" t="s">
        <v>58</v>
      </c>
      <c r="G909" s="3" t="s">
        <v>59</v>
      </c>
      <c r="H909" s="3" t="s">
        <v>58</v>
      </c>
      <c r="I909" s="3" t="s">
        <v>58</v>
      </c>
      <c r="J909" s="3" t="s">
        <v>60</v>
      </c>
      <c r="K909" s="2" t="s">
        <v>11459</v>
      </c>
      <c r="L909" s="2" t="s">
        <v>11460</v>
      </c>
      <c r="M909" s="3" t="s">
        <v>1371</v>
      </c>
      <c r="O909" s="3" t="s">
        <v>65</v>
      </c>
      <c r="P909" s="3" t="s">
        <v>1358</v>
      </c>
      <c r="R909" s="3" t="s">
        <v>68</v>
      </c>
      <c r="S909" s="4">
        <v>1</v>
      </c>
      <c r="T909" s="4">
        <v>1</v>
      </c>
      <c r="U909" s="5" t="s">
        <v>1636</v>
      </c>
      <c r="V909" s="5" t="s">
        <v>1636</v>
      </c>
      <c r="W909" s="5" t="s">
        <v>10960</v>
      </c>
      <c r="X909" s="5" t="s">
        <v>10960</v>
      </c>
      <c r="Y909" s="4">
        <v>286</v>
      </c>
      <c r="Z909" s="4">
        <v>224</v>
      </c>
      <c r="AA909" s="4">
        <v>282</v>
      </c>
      <c r="AB909" s="4">
        <v>2</v>
      </c>
      <c r="AC909" s="4">
        <v>2</v>
      </c>
      <c r="AD909" s="4">
        <v>30</v>
      </c>
      <c r="AE909" s="4">
        <v>31</v>
      </c>
      <c r="AF909" s="4">
        <v>12</v>
      </c>
      <c r="AG909" s="4">
        <v>13</v>
      </c>
      <c r="AH909" s="4">
        <v>8</v>
      </c>
      <c r="AI909" s="4">
        <v>8</v>
      </c>
      <c r="AJ909" s="4">
        <v>22</v>
      </c>
      <c r="AK909" s="4">
        <v>22</v>
      </c>
      <c r="AL909" s="4">
        <v>0</v>
      </c>
      <c r="AM909" s="4">
        <v>0</v>
      </c>
      <c r="AN909" s="4">
        <v>0</v>
      </c>
      <c r="AO909" s="4">
        <v>0</v>
      </c>
      <c r="AP909" s="3" t="s">
        <v>58</v>
      </c>
      <c r="AQ909" s="3" t="s">
        <v>132</v>
      </c>
      <c r="AR909" s="6" t="str">
        <f>HYPERLINK("http://catalog.hathitrust.org/Record/102580658","HathiTrust Record")</f>
        <v>HathiTrust Record</v>
      </c>
      <c r="AS909" s="6" t="str">
        <f>HYPERLINK("https://creighton-primo.hosted.exlibrisgroup.com/primo-explore/search?tab=default_tab&amp;search_scope=EVERYTHING&amp;vid=01CRU&amp;lang=en_US&amp;offset=0&amp;query=any,contains,991001208109702656","Catalog Record")</f>
        <v>Catalog Record</v>
      </c>
      <c r="AT909" s="6" t="str">
        <f>HYPERLINK("http://www.worldcat.org/oclc/192621","WorldCat Record")</f>
        <v>WorldCat Record</v>
      </c>
      <c r="AU909" s="3" t="s">
        <v>11461</v>
      </c>
      <c r="AV909" s="3" t="s">
        <v>11462</v>
      </c>
      <c r="AW909" s="3" t="s">
        <v>11463</v>
      </c>
      <c r="AX909" s="3" t="s">
        <v>11463</v>
      </c>
      <c r="AY909" s="3" t="s">
        <v>11464</v>
      </c>
      <c r="AZ909" s="3" t="s">
        <v>75</v>
      </c>
      <c r="BC909" s="3" t="s">
        <v>11465</v>
      </c>
      <c r="BD909" s="3" t="s">
        <v>11466</v>
      </c>
    </row>
    <row r="910" spans="1:56" ht="39" customHeight="1" x14ac:dyDescent="0.25">
      <c r="A910" s="7" t="s">
        <v>58</v>
      </c>
      <c r="B910" s="2" t="s">
        <v>11467</v>
      </c>
      <c r="C910" s="2" t="s">
        <v>11468</v>
      </c>
      <c r="D910" s="2" t="s">
        <v>11469</v>
      </c>
      <c r="F910" s="3" t="s">
        <v>58</v>
      </c>
      <c r="G910" s="3" t="s">
        <v>59</v>
      </c>
      <c r="H910" s="3" t="s">
        <v>58</v>
      </c>
      <c r="I910" s="3" t="s">
        <v>58</v>
      </c>
      <c r="J910" s="3" t="s">
        <v>60</v>
      </c>
      <c r="K910" s="2" t="s">
        <v>8946</v>
      </c>
      <c r="L910" s="2" t="s">
        <v>11470</v>
      </c>
      <c r="M910" s="3" t="s">
        <v>3656</v>
      </c>
      <c r="O910" s="3" t="s">
        <v>65</v>
      </c>
      <c r="P910" s="3" t="s">
        <v>8045</v>
      </c>
      <c r="Q910" s="2" t="s">
        <v>11471</v>
      </c>
      <c r="R910" s="3" t="s">
        <v>68</v>
      </c>
      <c r="S910" s="4">
        <v>4</v>
      </c>
      <c r="T910" s="4">
        <v>4</v>
      </c>
      <c r="U910" s="5" t="s">
        <v>11472</v>
      </c>
      <c r="V910" s="5" t="s">
        <v>11472</v>
      </c>
      <c r="W910" s="5" t="s">
        <v>11473</v>
      </c>
      <c r="X910" s="5" t="s">
        <v>11473</v>
      </c>
      <c r="Y910" s="4">
        <v>174</v>
      </c>
      <c r="Z910" s="4">
        <v>124</v>
      </c>
      <c r="AA910" s="4">
        <v>124</v>
      </c>
      <c r="AB910" s="4">
        <v>1</v>
      </c>
      <c r="AC910" s="4">
        <v>1</v>
      </c>
      <c r="AD910" s="4">
        <v>14</v>
      </c>
      <c r="AE910" s="4">
        <v>14</v>
      </c>
      <c r="AF910" s="4">
        <v>3</v>
      </c>
      <c r="AG910" s="4">
        <v>3</v>
      </c>
      <c r="AH910" s="4">
        <v>6</v>
      </c>
      <c r="AI910" s="4">
        <v>6</v>
      </c>
      <c r="AJ910" s="4">
        <v>8</v>
      </c>
      <c r="AK910" s="4">
        <v>8</v>
      </c>
      <c r="AL910" s="4">
        <v>0</v>
      </c>
      <c r="AM910" s="4">
        <v>0</v>
      </c>
      <c r="AN910" s="4">
        <v>0</v>
      </c>
      <c r="AO910" s="4">
        <v>0</v>
      </c>
      <c r="AP910" s="3" t="s">
        <v>58</v>
      </c>
      <c r="AQ910" s="3" t="s">
        <v>58</v>
      </c>
      <c r="AS910" s="6" t="str">
        <f>HYPERLINK("https://creighton-primo.hosted.exlibrisgroup.com/primo-explore/search?tab=default_tab&amp;search_scope=EVERYTHING&amp;vid=01CRU&amp;lang=en_US&amp;offset=0&amp;query=any,contains,991002905429702656","Catalog Record")</f>
        <v>Catalog Record</v>
      </c>
      <c r="AT910" s="6" t="str">
        <f>HYPERLINK("http://www.worldcat.org/oclc/38332422","WorldCat Record")</f>
        <v>WorldCat Record</v>
      </c>
      <c r="AU910" s="3" t="s">
        <v>11474</v>
      </c>
      <c r="AV910" s="3" t="s">
        <v>11475</v>
      </c>
      <c r="AW910" s="3" t="s">
        <v>11476</v>
      </c>
      <c r="AX910" s="3" t="s">
        <v>11476</v>
      </c>
      <c r="AY910" s="3" t="s">
        <v>11477</v>
      </c>
      <c r="AZ910" s="3" t="s">
        <v>75</v>
      </c>
      <c r="BB910" s="3" t="s">
        <v>11478</v>
      </c>
      <c r="BC910" s="3" t="s">
        <v>11479</v>
      </c>
      <c r="BD910" s="3" t="s">
        <v>11480</v>
      </c>
    </row>
    <row r="911" spans="1:56" ht="39" customHeight="1" x14ac:dyDescent="0.25">
      <c r="A911" s="7" t="s">
        <v>58</v>
      </c>
      <c r="B911" s="2" t="s">
        <v>11481</v>
      </c>
      <c r="C911" s="2" t="s">
        <v>11482</v>
      </c>
      <c r="D911" s="2" t="s">
        <v>11483</v>
      </c>
      <c r="F911" s="3" t="s">
        <v>58</v>
      </c>
      <c r="G911" s="3" t="s">
        <v>59</v>
      </c>
      <c r="H911" s="3" t="s">
        <v>58</v>
      </c>
      <c r="I911" s="3" t="s">
        <v>58</v>
      </c>
      <c r="J911" s="3" t="s">
        <v>60</v>
      </c>
      <c r="K911" s="2" t="s">
        <v>11484</v>
      </c>
      <c r="L911" s="2" t="s">
        <v>11485</v>
      </c>
      <c r="M911" s="3" t="s">
        <v>1261</v>
      </c>
      <c r="O911" s="3" t="s">
        <v>65</v>
      </c>
      <c r="P911" s="3" t="s">
        <v>186</v>
      </c>
      <c r="R911" s="3" t="s">
        <v>68</v>
      </c>
      <c r="S911" s="4">
        <v>7</v>
      </c>
      <c r="T911" s="4">
        <v>7</v>
      </c>
      <c r="U911" s="5" t="s">
        <v>11486</v>
      </c>
      <c r="V911" s="5" t="s">
        <v>11486</v>
      </c>
      <c r="W911" s="5" t="s">
        <v>1333</v>
      </c>
      <c r="X911" s="5" t="s">
        <v>1333</v>
      </c>
      <c r="Y911" s="4">
        <v>172</v>
      </c>
      <c r="Z911" s="4">
        <v>145</v>
      </c>
      <c r="AA911" s="4">
        <v>145</v>
      </c>
      <c r="AB911" s="4">
        <v>1</v>
      </c>
      <c r="AC911" s="4">
        <v>1</v>
      </c>
      <c r="AD911" s="4">
        <v>11</v>
      </c>
      <c r="AE911" s="4">
        <v>11</v>
      </c>
      <c r="AF911" s="4">
        <v>0</v>
      </c>
      <c r="AG911" s="4">
        <v>0</v>
      </c>
      <c r="AH911" s="4">
        <v>2</v>
      </c>
      <c r="AI911" s="4">
        <v>2</v>
      </c>
      <c r="AJ911" s="4">
        <v>9</v>
      </c>
      <c r="AK911" s="4">
        <v>9</v>
      </c>
      <c r="AL911" s="4">
        <v>0</v>
      </c>
      <c r="AM911" s="4">
        <v>0</v>
      </c>
      <c r="AN911" s="4">
        <v>0</v>
      </c>
      <c r="AO911" s="4">
        <v>0</v>
      </c>
      <c r="AP911" s="3" t="s">
        <v>58</v>
      </c>
      <c r="AQ911" s="3" t="s">
        <v>58</v>
      </c>
      <c r="AS911" s="6" t="str">
        <f>HYPERLINK("https://creighton-primo.hosted.exlibrisgroup.com/primo-explore/search?tab=default_tab&amp;search_scope=EVERYTHING&amp;vid=01CRU&amp;lang=en_US&amp;offset=0&amp;query=any,contains,991001820109702656","Catalog Record")</f>
        <v>Catalog Record</v>
      </c>
      <c r="AT911" s="6" t="str">
        <f>HYPERLINK("http://www.worldcat.org/oclc/22887966","WorldCat Record")</f>
        <v>WorldCat Record</v>
      </c>
      <c r="AU911" s="3" t="s">
        <v>11487</v>
      </c>
      <c r="AV911" s="3" t="s">
        <v>11488</v>
      </c>
      <c r="AW911" s="3" t="s">
        <v>11489</v>
      </c>
      <c r="AX911" s="3" t="s">
        <v>11489</v>
      </c>
      <c r="AY911" s="3" t="s">
        <v>11490</v>
      </c>
      <c r="AZ911" s="3" t="s">
        <v>75</v>
      </c>
      <c r="BB911" s="3" t="s">
        <v>11491</v>
      </c>
      <c r="BC911" s="3" t="s">
        <v>11492</v>
      </c>
      <c r="BD911" s="3" t="s">
        <v>11493</v>
      </c>
    </row>
    <row r="912" spans="1:56" ht="39" customHeight="1" x14ac:dyDescent="0.25">
      <c r="A912" s="7" t="s">
        <v>58</v>
      </c>
      <c r="B912" s="2" t="s">
        <v>11494</v>
      </c>
      <c r="C912" s="2" t="s">
        <v>11495</v>
      </c>
      <c r="D912" s="2" t="s">
        <v>11496</v>
      </c>
      <c r="F912" s="3" t="s">
        <v>58</v>
      </c>
      <c r="G912" s="3" t="s">
        <v>59</v>
      </c>
      <c r="H912" s="3" t="s">
        <v>58</v>
      </c>
      <c r="I912" s="3" t="s">
        <v>58</v>
      </c>
      <c r="J912" s="3" t="s">
        <v>60</v>
      </c>
      <c r="K912" s="2" t="s">
        <v>11497</v>
      </c>
      <c r="L912" s="2" t="s">
        <v>11498</v>
      </c>
      <c r="M912" s="3" t="s">
        <v>631</v>
      </c>
      <c r="O912" s="3" t="s">
        <v>65</v>
      </c>
      <c r="P912" s="3" t="s">
        <v>492</v>
      </c>
      <c r="R912" s="3" t="s">
        <v>68</v>
      </c>
      <c r="S912" s="4">
        <v>4</v>
      </c>
      <c r="T912" s="4">
        <v>4</v>
      </c>
      <c r="U912" s="5" t="s">
        <v>11499</v>
      </c>
      <c r="V912" s="5" t="s">
        <v>11499</v>
      </c>
      <c r="W912" s="5" t="s">
        <v>70</v>
      </c>
      <c r="X912" s="5" t="s">
        <v>70</v>
      </c>
      <c r="Y912" s="4">
        <v>101</v>
      </c>
      <c r="Z912" s="4">
        <v>86</v>
      </c>
      <c r="AA912" s="4">
        <v>86</v>
      </c>
      <c r="AB912" s="4">
        <v>3</v>
      </c>
      <c r="AC912" s="4">
        <v>3</v>
      </c>
      <c r="AD912" s="4">
        <v>13</v>
      </c>
      <c r="AE912" s="4">
        <v>13</v>
      </c>
      <c r="AF912" s="4">
        <v>3</v>
      </c>
      <c r="AG912" s="4">
        <v>3</v>
      </c>
      <c r="AH912" s="4">
        <v>3</v>
      </c>
      <c r="AI912" s="4">
        <v>3</v>
      </c>
      <c r="AJ912" s="4">
        <v>10</v>
      </c>
      <c r="AK912" s="4">
        <v>10</v>
      </c>
      <c r="AL912" s="4">
        <v>1</v>
      </c>
      <c r="AM912" s="4">
        <v>1</v>
      </c>
      <c r="AN912" s="4">
        <v>0</v>
      </c>
      <c r="AO912" s="4">
        <v>0</v>
      </c>
      <c r="AP912" s="3" t="s">
        <v>58</v>
      </c>
      <c r="AQ912" s="3" t="s">
        <v>58</v>
      </c>
      <c r="AS912" s="6" t="str">
        <f>HYPERLINK("https://creighton-primo.hosted.exlibrisgroup.com/primo-explore/search?tab=default_tab&amp;search_scope=EVERYTHING&amp;vid=01CRU&amp;lang=en_US&amp;offset=0&amp;query=any,contains,991003908779702656","Catalog Record")</f>
        <v>Catalog Record</v>
      </c>
      <c r="AT912" s="6" t="str">
        <f>HYPERLINK("http://www.worldcat.org/oclc/1847982","WorldCat Record")</f>
        <v>WorldCat Record</v>
      </c>
      <c r="AU912" s="3" t="s">
        <v>11500</v>
      </c>
      <c r="AV912" s="3" t="s">
        <v>11501</v>
      </c>
      <c r="AW912" s="3" t="s">
        <v>11502</v>
      </c>
      <c r="AX912" s="3" t="s">
        <v>11502</v>
      </c>
      <c r="AY912" s="3" t="s">
        <v>11503</v>
      </c>
      <c r="AZ912" s="3" t="s">
        <v>75</v>
      </c>
      <c r="BC912" s="3" t="s">
        <v>11504</v>
      </c>
      <c r="BD912" s="3" t="s">
        <v>11505</v>
      </c>
    </row>
    <row r="913" spans="1:56" ht="39" customHeight="1" x14ac:dyDescent="0.25">
      <c r="A913" s="7" t="s">
        <v>58</v>
      </c>
      <c r="B913" s="2" t="s">
        <v>11506</v>
      </c>
      <c r="C913" s="2" t="s">
        <v>11507</v>
      </c>
      <c r="D913" s="2" t="s">
        <v>11508</v>
      </c>
      <c r="F913" s="3" t="s">
        <v>58</v>
      </c>
      <c r="G913" s="3" t="s">
        <v>59</v>
      </c>
      <c r="H913" s="3" t="s">
        <v>58</v>
      </c>
      <c r="I913" s="3" t="s">
        <v>58</v>
      </c>
      <c r="J913" s="3" t="s">
        <v>60</v>
      </c>
      <c r="K913" s="2" t="s">
        <v>11509</v>
      </c>
      <c r="L913" s="2" t="s">
        <v>11510</v>
      </c>
      <c r="M913" s="3" t="s">
        <v>871</v>
      </c>
      <c r="N913" s="2" t="s">
        <v>2831</v>
      </c>
      <c r="O913" s="3" t="s">
        <v>65</v>
      </c>
      <c r="P913" s="3" t="s">
        <v>186</v>
      </c>
      <c r="R913" s="3" t="s">
        <v>68</v>
      </c>
      <c r="S913" s="4">
        <v>8</v>
      </c>
      <c r="T913" s="4">
        <v>8</v>
      </c>
      <c r="U913" s="5" t="s">
        <v>11511</v>
      </c>
      <c r="V913" s="5" t="s">
        <v>11511</v>
      </c>
      <c r="W913" s="5" t="s">
        <v>10960</v>
      </c>
      <c r="X913" s="5" t="s">
        <v>10960</v>
      </c>
      <c r="Y913" s="4">
        <v>573</v>
      </c>
      <c r="Z913" s="4">
        <v>517</v>
      </c>
      <c r="AA913" s="4">
        <v>602</v>
      </c>
      <c r="AB913" s="4">
        <v>4</v>
      </c>
      <c r="AC913" s="4">
        <v>4</v>
      </c>
      <c r="AD913" s="4">
        <v>35</v>
      </c>
      <c r="AE913" s="4">
        <v>37</v>
      </c>
      <c r="AF913" s="4">
        <v>14</v>
      </c>
      <c r="AG913" s="4">
        <v>14</v>
      </c>
      <c r="AH913" s="4">
        <v>8</v>
      </c>
      <c r="AI913" s="4">
        <v>8</v>
      </c>
      <c r="AJ913" s="4">
        <v>22</v>
      </c>
      <c r="AK913" s="4">
        <v>24</v>
      </c>
      <c r="AL913" s="4">
        <v>2</v>
      </c>
      <c r="AM913" s="4">
        <v>2</v>
      </c>
      <c r="AN913" s="4">
        <v>0</v>
      </c>
      <c r="AO913" s="4">
        <v>0</v>
      </c>
      <c r="AP913" s="3" t="s">
        <v>58</v>
      </c>
      <c r="AQ913" s="3" t="s">
        <v>132</v>
      </c>
      <c r="AR913" s="6" t="str">
        <f>HYPERLINK("http://catalog.hathitrust.org/Record/001415091","HathiTrust Record")</f>
        <v>HathiTrust Record</v>
      </c>
      <c r="AS913" s="6" t="str">
        <f>HYPERLINK("https://creighton-primo.hosted.exlibrisgroup.com/primo-explore/search?tab=default_tab&amp;search_scope=EVERYTHING&amp;vid=01CRU&amp;lang=en_US&amp;offset=0&amp;query=any,contains,991002640819702656","Catalog Record")</f>
        <v>Catalog Record</v>
      </c>
      <c r="AT913" s="6" t="str">
        <f>HYPERLINK("http://www.worldcat.org/oclc/384292","WorldCat Record")</f>
        <v>WorldCat Record</v>
      </c>
      <c r="AU913" s="3" t="s">
        <v>11512</v>
      </c>
      <c r="AV913" s="3" t="s">
        <v>11513</v>
      </c>
      <c r="AW913" s="3" t="s">
        <v>11514</v>
      </c>
      <c r="AX913" s="3" t="s">
        <v>11514</v>
      </c>
      <c r="AY913" s="3" t="s">
        <v>11515</v>
      </c>
      <c r="AZ913" s="3" t="s">
        <v>75</v>
      </c>
      <c r="BC913" s="3" t="s">
        <v>11516</v>
      </c>
      <c r="BD913" s="3" t="s">
        <v>11517</v>
      </c>
    </row>
    <row r="914" spans="1:56" ht="39" customHeight="1" x14ac:dyDescent="0.25">
      <c r="A914" s="7" t="s">
        <v>58</v>
      </c>
      <c r="B914" s="2" t="s">
        <v>11518</v>
      </c>
      <c r="C914" s="2" t="s">
        <v>11519</v>
      </c>
      <c r="D914" s="2" t="s">
        <v>11520</v>
      </c>
      <c r="F914" s="3" t="s">
        <v>58</v>
      </c>
      <c r="G914" s="3" t="s">
        <v>59</v>
      </c>
      <c r="H914" s="3" t="s">
        <v>58</v>
      </c>
      <c r="I914" s="3" t="s">
        <v>58</v>
      </c>
      <c r="J914" s="3" t="s">
        <v>60</v>
      </c>
      <c r="K914" s="2" t="s">
        <v>11521</v>
      </c>
      <c r="L914" s="2" t="s">
        <v>5491</v>
      </c>
      <c r="M914" s="3" t="s">
        <v>128</v>
      </c>
      <c r="O914" s="3" t="s">
        <v>65</v>
      </c>
      <c r="P914" s="3" t="s">
        <v>186</v>
      </c>
      <c r="R914" s="3" t="s">
        <v>68</v>
      </c>
      <c r="S914" s="4">
        <v>7</v>
      </c>
      <c r="T914" s="4">
        <v>7</v>
      </c>
      <c r="U914" s="5" t="s">
        <v>11522</v>
      </c>
      <c r="V914" s="5" t="s">
        <v>11522</v>
      </c>
      <c r="W914" s="5" t="s">
        <v>10960</v>
      </c>
      <c r="X914" s="5" t="s">
        <v>10960</v>
      </c>
      <c r="Y914" s="4">
        <v>251</v>
      </c>
      <c r="Z914" s="4">
        <v>218</v>
      </c>
      <c r="AA914" s="4">
        <v>224</v>
      </c>
      <c r="AB914" s="4">
        <v>3</v>
      </c>
      <c r="AC914" s="4">
        <v>3</v>
      </c>
      <c r="AD914" s="4">
        <v>19</v>
      </c>
      <c r="AE914" s="4">
        <v>19</v>
      </c>
      <c r="AF914" s="4">
        <v>4</v>
      </c>
      <c r="AG914" s="4">
        <v>4</v>
      </c>
      <c r="AH914" s="4">
        <v>4</v>
      </c>
      <c r="AI914" s="4">
        <v>4</v>
      </c>
      <c r="AJ914" s="4">
        <v>13</v>
      </c>
      <c r="AK914" s="4">
        <v>13</v>
      </c>
      <c r="AL914" s="4">
        <v>2</v>
      </c>
      <c r="AM914" s="4">
        <v>2</v>
      </c>
      <c r="AN914" s="4">
        <v>0</v>
      </c>
      <c r="AO914" s="4">
        <v>0</v>
      </c>
      <c r="AP914" s="3" t="s">
        <v>58</v>
      </c>
      <c r="AQ914" s="3" t="s">
        <v>132</v>
      </c>
      <c r="AR914" s="6" t="str">
        <f>HYPERLINK("http://catalog.hathitrust.org/Record/007114022","HathiTrust Record")</f>
        <v>HathiTrust Record</v>
      </c>
      <c r="AS914" s="6" t="str">
        <f>HYPERLINK("https://creighton-primo.hosted.exlibrisgroup.com/primo-explore/search?tab=default_tab&amp;search_scope=EVERYTHING&amp;vid=01CRU&amp;lang=en_US&amp;offset=0&amp;query=any,contains,991004238409702656","Catalog Record")</f>
        <v>Catalog Record</v>
      </c>
      <c r="AT914" s="6" t="str">
        <f>HYPERLINK("http://www.worldcat.org/oclc/2778267","WorldCat Record")</f>
        <v>WorldCat Record</v>
      </c>
      <c r="AU914" s="3" t="s">
        <v>11523</v>
      </c>
      <c r="AV914" s="3" t="s">
        <v>11524</v>
      </c>
      <c r="AW914" s="3" t="s">
        <v>11525</v>
      </c>
      <c r="AX914" s="3" t="s">
        <v>11525</v>
      </c>
      <c r="AY914" s="3" t="s">
        <v>11526</v>
      </c>
      <c r="AZ914" s="3" t="s">
        <v>75</v>
      </c>
      <c r="BB914" s="3" t="s">
        <v>11527</v>
      </c>
      <c r="BC914" s="3" t="s">
        <v>11528</v>
      </c>
      <c r="BD914" s="3" t="s">
        <v>11529</v>
      </c>
    </row>
    <row r="915" spans="1:56" ht="39" customHeight="1" x14ac:dyDescent="0.25">
      <c r="A915" s="7" t="s">
        <v>58</v>
      </c>
      <c r="B915" s="2" t="s">
        <v>11530</v>
      </c>
      <c r="C915" s="2" t="s">
        <v>11531</v>
      </c>
      <c r="D915" s="2" t="s">
        <v>11532</v>
      </c>
      <c r="F915" s="3" t="s">
        <v>58</v>
      </c>
      <c r="G915" s="3" t="s">
        <v>59</v>
      </c>
      <c r="H915" s="3" t="s">
        <v>58</v>
      </c>
      <c r="I915" s="3" t="s">
        <v>58</v>
      </c>
      <c r="J915" s="3" t="s">
        <v>60</v>
      </c>
      <c r="K915" s="2" t="s">
        <v>2791</v>
      </c>
      <c r="L915" s="2" t="s">
        <v>11533</v>
      </c>
      <c r="M915" s="3" t="s">
        <v>427</v>
      </c>
      <c r="N915" s="2" t="s">
        <v>476</v>
      </c>
      <c r="O915" s="3" t="s">
        <v>65</v>
      </c>
      <c r="P915" s="3" t="s">
        <v>84</v>
      </c>
      <c r="R915" s="3" t="s">
        <v>68</v>
      </c>
      <c r="S915" s="4">
        <v>2</v>
      </c>
      <c r="T915" s="4">
        <v>2</v>
      </c>
      <c r="U915" s="5" t="s">
        <v>11534</v>
      </c>
      <c r="V915" s="5" t="s">
        <v>11534</v>
      </c>
      <c r="W915" s="5" t="s">
        <v>10960</v>
      </c>
      <c r="X915" s="5" t="s">
        <v>10960</v>
      </c>
      <c r="Y915" s="4">
        <v>381</v>
      </c>
      <c r="Z915" s="4">
        <v>361</v>
      </c>
      <c r="AA915" s="4">
        <v>378</v>
      </c>
      <c r="AB915" s="4">
        <v>2</v>
      </c>
      <c r="AC915" s="4">
        <v>2</v>
      </c>
      <c r="AD915" s="4">
        <v>24</v>
      </c>
      <c r="AE915" s="4">
        <v>24</v>
      </c>
      <c r="AF915" s="4">
        <v>12</v>
      </c>
      <c r="AG915" s="4">
        <v>12</v>
      </c>
      <c r="AH915" s="4">
        <v>5</v>
      </c>
      <c r="AI915" s="4">
        <v>5</v>
      </c>
      <c r="AJ915" s="4">
        <v>15</v>
      </c>
      <c r="AK915" s="4">
        <v>15</v>
      </c>
      <c r="AL915" s="4">
        <v>1</v>
      </c>
      <c r="AM915" s="4">
        <v>1</v>
      </c>
      <c r="AN915" s="4">
        <v>0</v>
      </c>
      <c r="AO915" s="4">
        <v>0</v>
      </c>
      <c r="AP915" s="3" t="s">
        <v>58</v>
      </c>
      <c r="AQ915" s="3" t="s">
        <v>58</v>
      </c>
      <c r="AS915" s="6" t="str">
        <f>HYPERLINK("https://creighton-primo.hosted.exlibrisgroup.com/primo-explore/search?tab=default_tab&amp;search_scope=EVERYTHING&amp;vid=01CRU&amp;lang=en_US&amp;offset=0&amp;query=any,contains,991004650239702656","Catalog Record")</f>
        <v>Catalog Record</v>
      </c>
      <c r="AT915" s="6" t="str">
        <f>HYPERLINK("http://www.worldcat.org/oclc/4493651","WorldCat Record")</f>
        <v>WorldCat Record</v>
      </c>
      <c r="AU915" s="3" t="s">
        <v>11535</v>
      </c>
      <c r="AV915" s="3" t="s">
        <v>11536</v>
      </c>
      <c r="AW915" s="3" t="s">
        <v>11537</v>
      </c>
      <c r="AX915" s="3" t="s">
        <v>11537</v>
      </c>
      <c r="AY915" s="3" t="s">
        <v>11538</v>
      </c>
      <c r="AZ915" s="3" t="s">
        <v>75</v>
      </c>
      <c r="BB915" s="3" t="s">
        <v>11539</v>
      </c>
      <c r="BC915" s="3" t="s">
        <v>11540</v>
      </c>
      <c r="BD915" s="3" t="s">
        <v>11541</v>
      </c>
    </row>
    <row r="916" spans="1:56" ht="39" customHeight="1" x14ac:dyDescent="0.25">
      <c r="A916" s="7" t="s">
        <v>58</v>
      </c>
      <c r="B916" s="2" t="s">
        <v>11542</v>
      </c>
      <c r="C916" s="2" t="s">
        <v>11543</v>
      </c>
      <c r="D916" s="2" t="s">
        <v>11544</v>
      </c>
      <c r="F916" s="3" t="s">
        <v>58</v>
      </c>
      <c r="G916" s="3" t="s">
        <v>59</v>
      </c>
      <c r="H916" s="3" t="s">
        <v>58</v>
      </c>
      <c r="I916" s="3" t="s">
        <v>58</v>
      </c>
      <c r="J916" s="3" t="s">
        <v>60</v>
      </c>
      <c r="K916" s="2" t="s">
        <v>11545</v>
      </c>
      <c r="L916" s="2" t="s">
        <v>8947</v>
      </c>
      <c r="M916" s="3" t="s">
        <v>1723</v>
      </c>
      <c r="O916" s="3" t="s">
        <v>65</v>
      </c>
      <c r="P916" s="3" t="s">
        <v>186</v>
      </c>
      <c r="Q916" s="2" t="s">
        <v>11546</v>
      </c>
      <c r="R916" s="3" t="s">
        <v>68</v>
      </c>
      <c r="S916" s="4">
        <v>1</v>
      </c>
      <c r="T916" s="4">
        <v>1</v>
      </c>
      <c r="U916" s="5" t="s">
        <v>11547</v>
      </c>
      <c r="V916" s="5" t="s">
        <v>11547</v>
      </c>
      <c r="W916" s="5" t="s">
        <v>11547</v>
      </c>
      <c r="X916" s="5" t="s">
        <v>11547</v>
      </c>
      <c r="Y916" s="4">
        <v>88</v>
      </c>
      <c r="Z916" s="4">
        <v>73</v>
      </c>
      <c r="AA916" s="4">
        <v>81</v>
      </c>
      <c r="AB916" s="4">
        <v>1</v>
      </c>
      <c r="AC916" s="4">
        <v>1</v>
      </c>
      <c r="AD916" s="4">
        <v>4</v>
      </c>
      <c r="AE916" s="4">
        <v>4</v>
      </c>
      <c r="AF916" s="4">
        <v>1</v>
      </c>
      <c r="AG916" s="4">
        <v>1</v>
      </c>
      <c r="AH916" s="4">
        <v>1</v>
      </c>
      <c r="AI916" s="4">
        <v>1</v>
      </c>
      <c r="AJ916" s="4">
        <v>2</v>
      </c>
      <c r="AK916" s="4">
        <v>2</v>
      </c>
      <c r="AL916" s="4">
        <v>0</v>
      </c>
      <c r="AM916" s="4">
        <v>0</v>
      </c>
      <c r="AN916" s="4">
        <v>0</v>
      </c>
      <c r="AO916" s="4">
        <v>0</v>
      </c>
      <c r="AP916" s="3" t="s">
        <v>58</v>
      </c>
      <c r="AQ916" s="3" t="s">
        <v>132</v>
      </c>
      <c r="AR916" s="6" t="str">
        <f>HYPERLINK("http://catalog.hathitrust.org/Record/004165179","HathiTrust Record")</f>
        <v>HathiTrust Record</v>
      </c>
      <c r="AS916" s="6" t="str">
        <f>HYPERLINK("https://creighton-primo.hosted.exlibrisgroup.com/primo-explore/search?tab=default_tab&amp;search_scope=EVERYTHING&amp;vid=01CRU&amp;lang=en_US&amp;offset=0&amp;query=any,contains,991004951269702656","Catalog Record")</f>
        <v>Catalog Record</v>
      </c>
      <c r="AT916" s="6" t="str">
        <f>HYPERLINK("http://www.worldcat.org/oclc/47752049","WorldCat Record")</f>
        <v>WorldCat Record</v>
      </c>
      <c r="AU916" s="3" t="s">
        <v>11548</v>
      </c>
      <c r="AV916" s="3" t="s">
        <v>11549</v>
      </c>
      <c r="AW916" s="3" t="s">
        <v>11550</v>
      </c>
      <c r="AX916" s="3" t="s">
        <v>11550</v>
      </c>
      <c r="AY916" s="3" t="s">
        <v>11551</v>
      </c>
      <c r="AZ916" s="3" t="s">
        <v>75</v>
      </c>
      <c r="BB916" s="3" t="s">
        <v>11552</v>
      </c>
      <c r="BC916" s="3" t="s">
        <v>11553</v>
      </c>
      <c r="BD916" s="3" t="s">
        <v>11554</v>
      </c>
    </row>
    <row r="917" spans="1:56" ht="39" customHeight="1" x14ac:dyDescent="0.25">
      <c r="A917" s="7" t="s">
        <v>58</v>
      </c>
      <c r="B917" s="2" t="s">
        <v>11555</v>
      </c>
      <c r="C917" s="2" t="s">
        <v>11556</v>
      </c>
      <c r="D917" s="2" t="s">
        <v>11557</v>
      </c>
      <c r="F917" s="3" t="s">
        <v>58</v>
      </c>
      <c r="G917" s="3" t="s">
        <v>59</v>
      </c>
      <c r="H917" s="3" t="s">
        <v>58</v>
      </c>
      <c r="I917" s="3" t="s">
        <v>58</v>
      </c>
      <c r="J917" s="3" t="s">
        <v>60</v>
      </c>
      <c r="K917" s="2" t="s">
        <v>604</v>
      </c>
      <c r="L917" s="2" t="s">
        <v>258</v>
      </c>
      <c r="M917" s="3" t="s">
        <v>144</v>
      </c>
      <c r="O917" s="3" t="s">
        <v>65</v>
      </c>
      <c r="P917" s="3" t="s">
        <v>186</v>
      </c>
      <c r="R917" s="3" t="s">
        <v>68</v>
      </c>
      <c r="S917" s="4">
        <v>9</v>
      </c>
      <c r="T917" s="4">
        <v>9</v>
      </c>
      <c r="U917" s="5" t="s">
        <v>11558</v>
      </c>
      <c r="V917" s="5" t="s">
        <v>11558</v>
      </c>
      <c r="W917" s="5" t="s">
        <v>8224</v>
      </c>
      <c r="X917" s="5" t="s">
        <v>8224</v>
      </c>
      <c r="Y917" s="4">
        <v>417</v>
      </c>
      <c r="Z917" s="4">
        <v>356</v>
      </c>
      <c r="AA917" s="4">
        <v>361</v>
      </c>
      <c r="AB917" s="4">
        <v>3</v>
      </c>
      <c r="AC917" s="4">
        <v>3</v>
      </c>
      <c r="AD917" s="4">
        <v>27</v>
      </c>
      <c r="AE917" s="4">
        <v>27</v>
      </c>
      <c r="AF917" s="4">
        <v>10</v>
      </c>
      <c r="AG917" s="4">
        <v>10</v>
      </c>
      <c r="AH917" s="4">
        <v>7</v>
      </c>
      <c r="AI917" s="4">
        <v>7</v>
      </c>
      <c r="AJ917" s="4">
        <v>17</v>
      </c>
      <c r="AK917" s="4">
        <v>17</v>
      </c>
      <c r="AL917" s="4">
        <v>1</v>
      </c>
      <c r="AM917" s="4">
        <v>1</v>
      </c>
      <c r="AN917" s="4">
        <v>0</v>
      </c>
      <c r="AO917" s="4">
        <v>0</v>
      </c>
      <c r="AP917" s="3" t="s">
        <v>58</v>
      </c>
      <c r="AQ917" s="3" t="s">
        <v>58</v>
      </c>
      <c r="AS917" s="6" t="str">
        <f>HYPERLINK("https://creighton-primo.hosted.exlibrisgroup.com/primo-explore/search?tab=default_tab&amp;search_scope=EVERYTHING&amp;vid=01CRU&amp;lang=en_US&amp;offset=0&amp;query=any,contains,991004632129702656","Catalog Record")</f>
        <v>Catalog Record</v>
      </c>
      <c r="AT917" s="6" t="str">
        <f>HYPERLINK("http://www.worldcat.org/oclc/4379572","WorldCat Record")</f>
        <v>WorldCat Record</v>
      </c>
      <c r="AU917" s="3" t="s">
        <v>11559</v>
      </c>
      <c r="AV917" s="3" t="s">
        <v>11560</v>
      </c>
      <c r="AW917" s="3" t="s">
        <v>11561</v>
      </c>
      <c r="AX917" s="3" t="s">
        <v>11561</v>
      </c>
      <c r="AY917" s="3" t="s">
        <v>11562</v>
      </c>
      <c r="AZ917" s="3" t="s">
        <v>75</v>
      </c>
      <c r="BB917" s="3" t="s">
        <v>11563</v>
      </c>
      <c r="BC917" s="3" t="s">
        <v>11564</v>
      </c>
      <c r="BD917" s="3" t="s">
        <v>11565</v>
      </c>
    </row>
    <row r="918" spans="1:56" ht="39" customHeight="1" x14ac:dyDescent="0.25">
      <c r="A918" s="7" t="s">
        <v>58</v>
      </c>
      <c r="B918" s="2" t="s">
        <v>11566</v>
      </c>
      <c r="C918" s="2" t="s">
        <v>11567</v>
      </c>
      <c r="D918" s="2" t="s">
        <v>11568</v>
      </c>
      <c r="F918" s="3" t="s">
        <v>58</v>
      </c>
      <c r="G918" s="3" t="s">
        <v>59</v>
      </c>
      <c r="H918" s="3" t="s">
        <v>58</v>
      </c>
      <c r="I918" s="3" t="s">
        <v>58</v>
      </c>
      <c r="J918" s="3" t="s">
        <v>60</v>
      </c>
      <c r="K918" s="2" t="s">
        <v>11569</v>
      </c>
      <c r="L918" s="2" t="s">
        <v>11570</v>
      </c>
      <c r="M918" s="3" t="s">
        <v>2418</v>
      </c>
      <c r="N918" s="2" t="s">
        <v>11571</v>
      </c>
      <c r="O918" s="3" t="s">
        <v>65</v>
      </c>
      <c r="P918" s="3" t="s">
        <v>66</v>
      </c>
      <c r="Q918" s="2" t="s">
        <v>11572</v>
      </c>
      <c r="R918" s="3" t="s">
        <v>68</v>
      </c>
      <c r="S918" s="4">
        <v>7</v>
      </c>
      <c r="T918" s="4">
        <v>7</v>
      </c>
      <c r="U918" s="5" t="s">
        <v>1247</v>
      </c>
      <c r="V918" s="5" t="s">
        <v>1247</v>
      </c>
      <c r="W918" s="5" t="s">
        <v>10960</v>
      </c>
      <c r="X918" s="5" t="s">
        <v>10960</v>
      </c>
      <c r="Y918" s="4">
        <v>162</v>
      </c>
      <c r="Z918" s="4">
        <v>137</v>
      </c>
      <c r="AA918" s="4">
        <v>470</v>
      </c>
      <c r="AB918" s="4">
        <v>1</v>
      </c>
      <c r="AC918" s="4">
        <v>4</v>
      </c>
      <c r="AD918" s="4">
        <v>5</v>
      </c>
      <c r="AE918" s="4">
        <v>20</v>
      </c>
      <c r="AF918" s="4">
        <v>1</v>
      </c>
      <c r="AG918" s="4">
        <v>9</v>
      </c>
      <c r="AH918" s="4">
        <v>1</v>
      </c>
      <c r="AI918" s="4">
        <v>3</v>
      </c>
      <c r="AJ918" s="4">
        <v>4</v>
      </c>
      <c r="AK918" s="4">
        <v>11</v>
      </c>
      <c r="AL918" s="4">
        <v>0</v>
      </c>
      <c r="AM918" s="4">
        <v>3</v>
      </c>
      <c r="AN918" s="4">
        <v>0</v>
      </c>
      <c r="AO918" s="4">
        <v>0</v>
      </c>
      <c r="AP918" s="3" t="s">
        <v>58</v>
      </c>
      <c r="AQ918" s="3" t="s">
        <v>132</v>
      </c>
      <c r="AR918" s="6" t="str">
        <f>HYPERLINK("http://catalog.hathitrust.org/Record/000015535","HathiTrust Record")</f>
        <v>HathiTrust Record</v>
      </c>
      <c r="AS918" s="6" t="str">
        <f>HYPERLINK("https://creighton-primo.hosted.exlibrisgroup.com/primo-explore/search?tab=default_tab&amp;search_scope=EVERYTHING&amp;vid=01CRU&amp;lang=en_US&amp;offset=0&amp;query=any,contains,991004227459702656","Catalog Record")</f>
        <v>Catalog Record</v>
      </c>
      <c r="AT918" s="6" t="str">
        <f>HYPERLINK("http://www.worldcat.org/oclc/2736001","WorldCat Record")</f>
        <v>WorldCat Record</v>
      </c>
      <c r="AU918" s="3" t="s">
        <v>11573</v>
      </c>
      <c r="AV918" s="3" t="s">
        <v>11574</v>
      </c>
      <c r="AW918" s="3" t="s">
        <v>11575</v>
      </c>
      <c r="AX918" s="3" t="s">
        <v>11575</v>
      </c>
      <c r="AY918" s="3" t="s">
        <v>11576</v>
      </c>
      <c r="AZ918" s="3" t="s">
        <v>75</v>
      </c>
      <c r="BB918" s="3" t="s">
        <v>11577</v>
      </c>
      <c r="BC918" s="3" t="s">
        <v>11578</v>
      </c>
      <c r="BD918" s="3" t="s">
        <v>11579</v>
      </c>
    </row>
    <row r="919" spans="1:56" ht="39" customHeight="1" x14ac:dyDescent="0.25">
      <c r="A919" s="7" t="s">
        <v>58</v>
      </c>
      <c r="B919" s="2" t="s">
        <v>11580</v>
      </c>
      <c r="C919" s="2" t="s">
        <v>11581</v>
      </c>
      <c r="D919" s="2" t="s">
        <v>11582</v>
      </c>
      <c r="F919" s="3" t="s">
        <v>58</v>
      </c>
      <c r="G919" s="3" t="s">
        <v>59</v>
      </c>
      <c r="H919" s="3" t="s">
        <v>58</v>
      </c>
      <c r="I919" s="3" t="s">
        <v>58</v>
      </c>
      <c r="J919" s="3" t="s">
        <v>60</v>
      </c>
      <c r="K919" s="2" t="s">
        <v>11583</v>
      </c>
      <c r="L919" s="2" t="s">
        <v>11584</v>
      </c>
      <c r="M919" s="3" t="s">
        <v>3656</v>
      </c>
      <c r="O919" s="3" t="s">
        <v>65</v>
      </c>
      <c r="P919" s="3" t="s">
        <v>346</v>
      </c>
      <c r="R919" s="3" t="s">
        <v>68</v>
      </c>
      <c r="S919" s="4">
        <v>5</v>
      </c>
      <c r="T919" s="4">
        <v>5</v>
      </c>
      <c r="U919" s="5" t="s">
        <v>11585</v>
      </c>
      <c r="V919" s="5" t="s">
        <v>11585</v>
      </c>
      <c r="W919" s="5" t="s">
        <v>11586</v>
      </c>
      <c r="X919" s="5" t="s">
        <v>11586</v>
      </c>
      <c r="Y919" s="4">
        <v>102</v>
      </c>
      <c r="Z919" s="4">
        <v>82</v>
      </c>
      <c r="AA919" s="4">
        <v>195</v>
      </c>
      <c r="AB919" s="4">
        <v>2</v>
      </c>
      <c r="AC919" s="4">
        <v>2</v>
      </c>
      <c r="AD919" s="4">
        <v>4</v>
      </c>
      <c r="AE919" s="4">
        <v>9</v>
      </c>
      <c r="AF919" s="4">
        <v>1</v>
      </c>
      <c r="AG919" s="4">
        <v>4</v>
      </c>
      <c r="AH919" s="4">
        <v>1</v>
      </c>
      <c r="AI919" s="4">
        <v>2</v>
      </c>
      <c r="AJ919" s="4">
        <v>2</v>
      </c>
      <c r="AK919" s="4">
        <v>4</v>
      </c>
      <c r="AL919" s="4">
        <v>0</v>
      </c>
      <c r="AM919" s="4">
        <v>0</v>
      </c>
      <c r="AN919" s="4">
        <v>0</v>
      </c>
      <c r="AO919" s="4">
        <v>0</v>
      </c>
      <c r="AP919" s="3" t="s">
        <v>58</v>
      </c>
      <c r="AQ919" s="3" t="s">
        <v>58</v>
      </c>
      <c r="AS919" s="6" t="str">
        <f>HYPERLINK("https://creighton-primo.hosted.exlibrisgroup.com/primo-explore/search?tab=default_tab&amp;search_scope=EVERYTHING&amp;vid=01CRU&amp;lang=en_US&amp;offset=0&amp;query=any,contains,991003363959702656","Catalog Record")</f>
        <v>Catalog Record</v>
      </c>
      <c r="AT919" s="6" t="str">
        <f>HYPERLINK("http://www.worldcat.org/oclc/35521708","WorldCat Record")</f>
        <v>WorldCat Record</v>
      </c>
      <c r="AU919" s="3" t="s">
        <v>11587</v>
      </c>
      <c r="AV919" s="3" t="s">
        <v>11588</v>
      </c>
      <c r="AW919" s="3" t="s">
        <v>11589</v>
      </c>
      <c r="AX919" s="3" t="s">
        <v>11589</v>
      </c>
      <c r="AY919" s="3" t="s">
        <v>11590</v>
      </c>
      <c r="AZ919" s="3" t="s">
        <v>75</v>
      </c>
      <c r="BB919" s="3" t="s">
        <v>11591</v>
      </c>
      <c r="BC919" s="3" t="s">
        <v>11592</v>
      </c>
      <c r="BD919" s="3" t="s">
        <v>11593</v>
      </c>
    </row>
    <row r="920" spans="1:56" ht="39" customHeight="1" x14ac:dyDescent="0.25">
      <c r="A920" s="7" t="s">
        <v>58</v>
      </c>
      <c r="B920" s="2" t="s">
        <v>11594</v>
      </c>
      <c r="C920" s="2" t="s">
        <v>11595</v>
      </c>
      <c r="D920" s="2" t="s">
        <v>11596</v>
      </c>
      <c r="F920" s="3" t="s">
        <v>58</v>
      </c>
      <c r="G920" s="3" t="s">
        <v>59</v>
      </c>
      <c r="H920" s="3" t="s">
        <v>58</v>
      </c>
      <c r="I920" s="3" t="s">
        <v>58</v>
      </c>
      <c r="J920" s="3" t="s">
        <v>60</v>
      </c>
      <c r="K920" s="2" t="s">
        <v>11597</v>
      </c>
      <c r="L920" s="2" t="s">
        <v>11598</v>
      </c>
      <c r="M920" s="3" t="s">
        <v>361</v>
      </c>
      <c r="O920" s="3" t="s">
        <v>65</v>
      </c>
      <c r="P920" s="3" t="s">
        <v>113</v>
      </c>
      <c r="R920" s="3" t="s">
        <v>68</v>
      </c>
      <c r="S920" s="4">
        <v>3</v>
      </c>
      <c r="T920" s="4">
        <v>3</v>
      </c>
      <c r="U920" s="5" t="s">
        <v>11599</v>
      </c>
      <c r="V920" s="5" t="s">
        <v>11599</v>
      </c>
      <c r="W920" s="5" t="s">
        <v>11600</v>
      </c>
      <c r="X920" s="5" t="s">
        <v>11600</v>
      </c>
      <c r="Y920" s="4">
        <v>141</v>
      </c>
      <c r="Z920" s="4">
        <v>108</v>
      </c>
      <c r="AA920" s="4">
        <v>108</v>
      </c>
      <c r="AB920" s="4">
        <v>1</v>
      </c>
      <c r="AC920" s="4">
        <v>1</v>
      </c>
      <c r="AD920" s="4">
        <v>11</v>
      </c>
      <c r="AE920" s="4">
        <v>11</v>
      </c>
      <c r="AF920" s="4">
        <v>3</v>
      </c>
      <c r="AG920" s="4">
        <v>3</v>
      </c>
      <c r="AH920" s="4">
        <v>3</v>
      </c>
      <c r="AI920" s="4">
        <v>3</v>
      </c>
      <c r="AJ920" s="4">
        <v>11</v>
      </c>
      <c r="AK920" s="4">
        <v>11</v>
      </c>
      <c r="AL920" s="4">
        <v>0</v>
      </c>
      <c r="AM920" s="4">
        <v>0</v>
      </c>
      <c r="AN920" s="4">
        <v>0</v>
      </c>
      <c r="AO920" s="4">
        <v>0</v>
      </c>
      <c r="AP920" s="3" t="s">
        <v>58</v>
      </c>
      <c r="AQ920" s="3" t="s">
        <v>58</v>
      </c>
      <c r="AS920" s="6" t="str">
        <f>HYPERLINK("https://creighton-primo.hosted.exlibrisgroup.com/primo-explore/search?tab=default_tab&amp;search_scope=EVERYTHING&amp;vid=01CRU&amp;lang=en_US&amp;offset=0&amp;query=any,contains,991000121229702656","Catalog Record")</f>
        <v>Catalog Record</v>
      </c>
      <c r="AT920" s="6" t="str">
        <f>HYPERLINK("http://www.worldcat.org/oclc/9066789","WorldCat Record")</f>
        <v>WorldCat Record</v>
      </c>
      <c r="AU920" s="3" t="s">
        <v>11601</v>
      </c>
      <c r="AV920" s="3" t="s">
        <v>11602</v>
      </c>
      <c r="AW920" s="3" t="s">
        <v>11603</v>
      </c>
      <c r="AX920" s="3" t="s">
        <v>11603</v>
      </c>
      <c r="AY920" s="3" t="s">
        <v>11604</v>
      </c>
      <c r="AZ920" s="3" t="s">
        <v>75</v>
      </c>
      <c r="BB920" s="3" t="s">
        <v>11605</v>
      </c>
      <c r="BC920" s="3" t="s">
        <v>11606</v>
      </c>
      <c r="BD920" s="3" t="s">
        <v>11607</v>
      </c>
    </row>
    <row r="921" spans="1:56" ht="39" customHeight="1" x14ac:dyDescent="0.25">
      <c r="A921" s="7" t="s">
        <v>58</v>
      </c>
      <c r="B921" s="2" t="s">
        <v>11608</v>
      </c>
      <c r="C921" s="2" t="s">
        <v>11609</v>
      </c>
      <c r="D921" s="2" t="s">
        <v>11610</v>
      </c>
      <c r="F921" s="3" t="s">
        <v>58</v>
      </c>
      <c r="G921" s="3" t="s">
        <v>59</v>
      </c>
      <c r="H921" s="3" t="s">
        <v>58</v>
      </c>
      <c r="I921" s="3" t="s">
        <v>58</v>
      </c>
      <c r="J921" s="3" t="s">
        <v>60</v>
      </c>
      <c r="K921" s="2" t="s">
        <v>11611</v>
      </c>
      <c r="L921" s="2" t="s">
        <v>11612</v>
      </c>
      <c r="M921" s="3" t="s">
        <v>3656</v>
      </c>
      <c r="O921" s="3" t="s">
        <v>65</v>
      </c>
      <c r="P921" s="3" t="s">
        <v>186</v>
      </c>
      <c r="R921" s="3" t="s">
        <v>68</v>
      </c>
      <c r="S921" s="4">
        <v>4</v>
      </c>
      <c r="T921" s="4">
        <v>4</v>
      </c>
      <c r="U921" s="5" t="s">
        <v>11613</v>
      </c>
      <c r="V921" s="5" t="s">
        <v>11613</v>
      </c>
      <c r="W921" s="5" t="s">
        <v>7235</v>
      </c>
      <c r="X921" s="5" t="s">
        <v>7235</v>
      </c>
      <c r="Y921" s="4">
        <v>188</v>
      </c>
      <c r="Z921" s="4">
        <v>174</v>
      </c>
      <c r="AA921" s="4">
        <v>179</v>
      </c>
      <c r="AB921" s="4">
        <v>2</v>
      </c>
      <c r="AC921" s="4">
        <v>2</v>
      </c>
      <c r="AD921" s="4">
        <v>13</v>
      </c>
      <c r="AE921" s="4">
        <v>13</v>
      </c>
      <c r="AF921" s="4">
        <v>3</v>
      </c>
      <c r="AG921" s="4">
        <v>3</v>
      </c>
      <c r="AH921" s="4">
        <v>4</v>
      </c>
      <c r="AI921" s="4">
        <v>4</v>
      </c>
      <c r="AJ921" s="4">
        <v>9</v>
      </c>
      <c r="AK921" s="4">
        <v>9</v>
      </c>
      <c r="AL921" s="4">
        <v>0</v>
      </c>
      <c r="AM921" s="4">
        <v>0</v>
      </c>
      <c r="AN921" s="4">
        <v>0</v>
      </c>
      <c r="AO921" s="4">
        <v>0</v>
      </c>
      <c r="AP921" s="3" t="s">
        <v>58</v>
      </c>
      <c r="AQ921" s="3" t="s">
        <v>58</v>
      </c>
      <c r="AS921" s="6" t="str">
        <f>HYPERLINK("https://creighton-primo.hosted.exlibrisgroup.com/primo-explore/search?tab=default_tab&amp;search_scope=EVERYTHING&amp;vid=01CRU&amp;lang=en_US&amp;offset=0&amp;query=any,contains,991002733999702656","Catalog Record")</f>
        <v>Catalog Record</v>
      </c>
      <c r="AT921" s="6" t="str">
        <f>HYPERLINK("http://www.worldcat.org/oclc/35865471","WorldCat Record")</f>
        <v>WorldCat Record</v>
      </c>
      <c r="AU921" s="3" t="s">
        <v>11614</v>
      </c>
      <c r="AV921" s="3" t="s">
        <v>11615</v>
      </c>
      <c r="AW921" s="3" t="s">
        <v>11616</v>
      </c>
      <c r="AX921" s="3" t="s">
        <v>11616</v>
      </c>
      <c r="AY921" s="3" t="s">
        <v>11617</v>
      </c>
      <c r="AZ921" s="3" t="s">
        <v>75</v>
      </c>
      <c r="BB921" s="3" t="s">
        <v>11618</v>
      </c>
      <c r="BC921" s="3" t="s">
        <v>11619</v>
      </c>
      <c r="BD921" s="3" t="s">
        <v>11620</v>
      </c>
    </row>
    <row r="922" spans="1:56" ht="39" customHeight="1" x14ac:dyDescent="0.25">
      <c r="A922" s="7" t="s">
        <v>58</v>
      </c>
      <c r="B922" s="2" t="s">
        <v>11621</v>
      </c>
      <c r="C922" s="2" t="s">
        <v>11622</v>
      </c>
      <c r="D922" s="2" t="s">
        <v>11623</v>
      </c>
      <c r="F922" s="3" t="s">
        <v>58</v>
      </c>
      <c r="G922" s="3" t="s">
        <v>59</v>
      </c>
      <c r="H922" s="3" t="s">
        <v>58</v>
      </c>
      <c r="I922" s="3" t="s">
        <v>58</v>
      </c>
      <c r="J922" s="3" t="s">
        <v>60</v>
      </c>
      <c r="K922" s="2" t="s">
        <v>11624</v>
      </c>
      <c r="L922" s="2" t="s">
        <v>11625</v>
      </c>
      <c r="M922" s="3" t="s">
        <v>10055</v>
      </c>
      <c r="O922" s="3" t="s">
        <v>65</v>
      </c>
      <c r="P922" s="3" t="s">
        <v>954</v>
      </c>
      <c r="R922" s="3" t="s">
        <v>68</v>
      </c>
      <c r="S922" s="4">
        <v>4</v>
      </c>
      <c r="T922" s="4">
        <v>4</v>
      </c>
      <c r="U922" s="5" t="s">
        <v>11626</v>
      </c>
      <c r="V922" s="5" t="s">
        <v>11626</v>
      </c>
      <c r="W922" s="5" t="s">
        <v>2494</v>
      </c>
      <c r="X922" s="5" t="s">
        <v>2494</v>
      </c>
      <c r="Y922" s="4">
        <v>41</v>
      </c>
      <c r="Z922" s="4">
        <v>32</v>
      </c>
      <c r="AA922" s="4">
        <v>32</v>
      </c>
      <c r="AB922" s="4">
        <v>1</v>
      </c>
      <c r="AC922" s="4">
        <v>1</v>
      </c>
      <c r="AD922" s="4">
        <v>9</v>
      </c>
      <c r="AE922" s="4">
        <v>9</v>
      </c>
      <c r="AF922" s="4">
        <v>2</v>
      </c>
      <c r="AG922" s="4">
        <v>2</v>
      </c>
      <c r="AH922" s="4">
        <v>2</v>
      </c>
      <c r="AI922" s="4">
        <v>2</v>
      </c>
      <c r="AJ922" s="4">
        <v>8</v>
      </c>
      <c r="AK922" s="4">
        <v>8</v>
      </c>
      <c r="AL922" s="4">
        <v>0</v>
      </c>
      <c r="AM922" s="4">
        <v>0</v>
      </c>
      <c r="AN922" s="4">
        <v>0</v>
      </c>
      <c r="AO922" s="4">
        <v>0</v>
      </c>
      <c r="AP922" s="3" t="s">
        <v>58</v>
      </c>
      <c r="AQ922" s="3" t="s">
        <v>58</v>
      </c>
      <c r="AS922" s="6" t="str">
        <f>HYPERLINK("https://creighton-primo.hosted.exlibrisgroup.com/primo-explore/search?tab=default_tab&amp;search_scope=EVERYTHING&amp;vid=01CRU&amp;lang=en_US&amp;offset=0&amp;query=any,contains,991003660259702656","Catalog Record")</f>
        <v>Catalog Record</v>
      </c>
      <c r="AT922" s="6" t="str">
        <f>HYPERLINK("http://www.worldcat.org/oclc/1267810","WorldCat Record")</f>
        <v>WorldCat Record</v>
      </c>
      <c r="AU922" s="3" t="s">
        <v>11627</v>
      </c>
      <c r="AV922" s="3" t="s">
        <v>11628</v>
      </c>
      <c r="AW922" s="3" t="s">
        <v>11629</v>
      </c>
      <c r="AX922" s="3" t="s">
        <v>11629</v>
      </c>
      <c r="AY922" s="3" t="s">
        <v>11630</v>
      </c>
      <c r="AZ922" s="3" t="s">
        <v>75</v>
      </c>
      <c r="BC922" s="3" t="s">
        <v>11631</v>
      </c>
      <c r="BD922" s="3" t="s">
        <v>11632</v>
      </c>
    </row>
    <row r="923" spans="1:56" ht="39" customHeight="1" x14ac:dyDescent="0.25">
      <c r="A923" s="7" t="s">
        <v>58</v>
      </c>
      <c r="B923" s="2" t="s">
        <v>11633</v>
      </c>
      <c r="C923" s="2" t="s">
        <v>11634</v>
      </c>
      <c r="D923" s="2" t="s">
        <v>11635</v>
      </c>
      <c r="F923" s="3" t="s">
        <v>58</v>
      </c>
      <c r="G923" s="3" t="s">
        <v>59</v>
      </c>
      <c r="H923" s="3" t="s">
        <v>58</v>
      </c>
      <c r="I923" s="3" t="s">
        <v>58</v>
      </c>
      <c r="J923" s="3" t="s">
        <v>60</v>
      </c>
      <c r="K923" s="2" t="s">
        <v>10706</v>
      </c>
      <c r="L923" s="2" t="s">
        <v>11636</v>
      </c>
      <c r="M923" s="3" t="s">
        <v>11637</v>
      </c>
      <c r="O923" s="3" t="s">
        <v>65</v>
      </c>
      <c r="P923" s="3" t="s">
        <v>492</v>
      </c>
      <c r="R923" s="3" t="s">
        <v>68</v>
      </c>
      <c r="S923" s="4">
        <v>2</v>
      </c>
      <c r="T923" s="4">
        <v>2</v>
      </c>
      <c r="U923" s="5" t="s">
        <v>11638</v>
      </c>
      <c r="V923" s="5" t="s">
        <v>11638</v>
      </c>
      <c r="W923" s="5" t="s">
        <v>11639</v>
      </c>
      <c r="X923" s="5" t="s">
        <v>11639</v>
      </c>
      <c r="Y923" s="4">
        <v>38</v>
      </c>
      <c r="Z923" s="4">
        <v>38</v>
      </c>
      <c r="AA923" s="4">
        <v>113</v>
      </c>
      <c r="AB923" s="4">
        <v>1</v>
      </c>
      <c r="AC923" s="4">
        <v>1</v>
      </c>
      <c r="AD923" s="4">
        <v>5</v>
      </c>
      <c r="AE923" s="4">
        <v>15</v>
      </c>
      <c r="AF923" s="4">
        <v>2</v>
      </c>
      <c r="AG923" s="4">
        <v>3</v>
      </c>
      <c r="AH923" s="4">
        <v>2</v>
      </c>
      <c r="AI923" s="4">
        <v>5</v>
      </c>
      <c r="AJ923" s="4">
        <v>3</v>
      </c>
      <c r="AK923" s="4">
        <v>11</v>
      </c>
      <c r="AL923" s="4">
        <v>0</v>
      </c>
      <c r="AM923" s="4">
        <v>0</v>
      </c>
      <c r="AN923" s="4">
        <v>0</v>
      </c>
      <c r="AO923" s="4">
        <v>0</v>
      </c>
      <c r="AP923" s="3" t="s">
        <v>58</v>
      </c>
      <c r="AQ923" s="3" t="s">
        <v>58</v>
      </c>
      <c r="AS923" s="6" t="str">
        <f>HYPERLINK("https://creighton-primo.hosted.exlibrisgroup.com/primo-explore/search?tab=default_tab&amp;search_scope=EVERYTHING&amp;vid=01CRU&amp;lang=en_US&amp;offset=0&amp;query=any,contains,991004423579702656","Catalog Record")</f>
        <v>Catalog Record</v>
      </c>
      <c r="AT923" s="6" t="str">
        <f>HYPERLINK("http://www.worldcat.org/oclc/3393126","WorldCat Record")</f>
        <v>WorldCat Record</v>
      </c>
      <c r="AU923" s="3" t="s">
        <v>11640</v>
      </c>
      <c r="AV923" s="3" t="s">
        <v>11641</v>
      </c>
      <c r="AW923" s="3" t="s">
        <v>11642</v>
      </c>
      <c r="AX923" s="3" t="s">
        <v>11642</v>
      </c>
      <c r="AY923" s="3" t="s">
        <v>11643</v>
      </c>
      <c r="AZ923" s="3" t="s">
        <v>75</v>
      </c>
      <c r="BC923" s="3" t="s">
        <v>11644</v>
      </c>
      <c r="BD923" s="3" t="s">
        <v>11645</v>
      </c>
    </row>
    <row r="924" spans="1:56" ht="39" customHeight="1" x14ac:dyDescent="0.25">
      <c r="A924" s="7" t="s">
        <v>58</v>
      </c>
      <c r="B924" s="2" t="s">
        <v>11646</v>
      </c>
      <c r="C924" s="2" t="s">
        <v>11647</v>
      </c>
      <c r="D924" s="2" t="s">
        <v>11648</v>
      </c>
      <c r="F924" s="3" t="s">
        <v>58</v>
      </c>
      <c r="G924" s="3" t="s">
        <v>59</v>
      </c>
      <c r="H924" s="3" t="s">
        <v>58</v>
      </c>
      <c r="I924" s="3" t="s">
        <v>58</v>
      </c>
      <c r="J924" s="3" t="s">
        <v>60</v>
      </c>
      <c r="K924" s="2" t="s">
        <v>2596</v>
      </c>
      <c r="L924" s="2" t="s">
        <v>11649</v>
      </c>
      <c r="M924" s="3" t="s">
        <v>1046</v>
      </c>
      <c r="O924" s="3" t="s">
        <v>65</v>
      </c>
      <c r="P924" s="3" t="s">
        <v>186</v>
      </c>
      <c r="R924" s="3" t="s">
        <v>68</v>
      </c>
      <c r="S924" s="4">
        <v>1</v>
      </c>
      <c r="T924" s="4">
        <v>1</v>
      </c>
      <c r="U924" s="5" t="s">
        <v>11650</v>
      </c>
      <c r="V924" s="5" t="s">
        <v>11650</v>
      </c>
      <c r="W924" s="5" t="s">
        <v>5951</v>
      </c>
      <c r="X924" s="5" t="s">
        <v>5951</v>
      </c>
      <c r="Y924" s="4">
        <v>27</v>
      </c>
      <c r="Z924" s="4">
        <v>24</v>
      </c>
      <c r="AA924" s="4">
        <v>24</v>
      </c>
      <c r="AB924" s="4">
        <v>2</v>
      </c>
      <c r="AC924" s="4">
        <v>2</v>
      </c>
      <c r="AD924" s="4">
        <v>3</v>
      </c>
      <c r="AE924" s="4">
        <v>3</v>
      </c>
      <c r="AF924" s="4">
        <v>0</v>
      </c>
      <c r="AG924" s="4">
        <v>0</v>
      </c>
      <c r="AH924" s="4">
        <v>1</v>
      </c>
      <c r="AI924" s="4">
        <v>1</v>
      </c>
      <c r="AJ924" s="4">
        <v>1</v>
      </c>
      <c r="AK924" s="4">
        <v>1</v>
      </c>
      <c r="AL924" s="4">
        <v>1</v>
      </c>
      <c r="AM924" s="4">
        <v>1</v>
      </c>
      <c r="AN924" s="4">
        <v>0</v>
      </c>
      <c r="AO924" s="4">
        <v>0</v>
      </c>
      <c r="AP924" s="3" t="s">
        <v>58</v>
      </c>
      <c r="AQ924" s="3" t="s">
        <v>58</v>
      </c>
      <c r="AS924" s="6" t="str">
        <f>HYPERLINK("https://creighton-primo.hosted.exlibrisgroup.com/primo-explore/search?tab=default_tab&amp;search_scope=EVERYTHING&amp;vid=01CRU&amp;lang=en_US&amp;offset=0&amp;query=any,contains,991001104569702656","Catalog Record")</f>
        <v>Catalog Record</v>
      </c>
      <c r="AT924" s="6" t="str">
        <f>HYPERLINK("http://www.worldcat.org/oclc/16395907","WorldCat Record")</f>
        <v>WorldCat Record</v>
      </c>
      <c r="AU924" s="3" t="s">
        <v>11651</v>
      </c>
      <c r="AV924" s="3" t="s">
        <v>11652</v>
      </c>
      <c r="AW924" s="3" t="s">
        <v>11653</v>
      </c>
      <c r="AX924" s="3" t="s">
        <v>11653</v>
      </c>
      <c r="AY924" s="3" t="s">
        <v>11654</v>
      </c>
      <c r="AZ924" s="3" t="s">
        <v>75</v>
      </c>
      <c r="BB924" s="3" t="s">
        <v>11655</v>
      </c>
      <c r="BC924" s="3" t="s">
        <v>11656</v>
      </c>
      <c r="BD924" s="3" t="s">
        <v>11657</v>
      </c>
    </row>
    <row r="925" spans="1:56" ht="39" customHeight="1" x14ac:dyDescent="0.25">
      <c r="A925" s="7" t="s">
        <v>58</v>
      </c>
      <c r="B925" s="2" t="s">
        <v>11658</v>
      </c>
      <c r="C925" s="2" t="s">
        <v>11659</v>
      </c>
      <c r="D925" s="2" t="s">
        <v>11660</v>
      </c>
      <c r="F925" s="3" t="s">
        <v>58</v>
      </c>
      <c r="G925" s="3" t="s">
        <v>59</v>
      </c>
      <c r="H925" s="3" t="s">
        <v>58</v>
      </c>
      <c r="I925" s="3" t="s">
        <v>58</v>
      </c>
      <c r="J925" s="3" t="s">
        <v>60</v>
      </c>
      <c r="K925" s="2" t="s">
        <v>3643</v>
      </c>
      <c r="L925" s="2" t="s">
        <v>11661</v>
      </c>
      <c r="M925" s="3" t="s">
        <v>2418</v>
      </c>
      <c r="O925" s="3" t="s">
        <v>65</v>
      </c>
      <c r="P925" s="3" t="s">
        <v>186</v>
      </c>
      <c r="Q925" s="2" t="s">
        <v>11662</v>
      </c>
      <c r="R925" s="3" t="s">
        <v>68</v>
      </c>
      <c r="S925" s="4">
        <v>2</v>
      </c>
      <c r="T925" s="4">
        <v>2</v>
      </c>
      <c r="U925" s="5" t="s">
        <v>85</v>
      </c>
      <c r="V925" s="5" t="s">
        <v>85</v>
      </c>
      <c r="W925" s="5" t="s">
        <v>70</v>
      </c>
      <c r="X925" s="5" t="s">
        <v>70</v>
      </c>
      <c r="Y925" s="4">
        <v>118</v>
      </c>
      <c r="Z925" s="4">
        <v>102</v>
      </c>
      <c r="AA925" s="4">
        <v>108</v>
      </c>
      <c r="AB925" s="4">
        <v>1</v>
      </c>
      <c r="AC925" s="4">
        <v>1</v>
      </c>
      <c r="AD925" s="4">
        <v>14</v>
      </c>
      <c r="AE925" s="4">
        <v>14</v>
      </c>
      <c r="AF925" s="4">
        <v>2</v>
      </c>
      <c r="AG925" s="4">
        <v>2</v>
      </c>
      <c r="AH925" s="4">
        <v>5</v>
      </c>
      <c r="AI925" s="4">
        <v>5</v>
      </c>
      <c r="AJ925" s="4">
        <v>9</v>
      </c>
      <c r="AK925" s="4">
        <v>9</v>
      </c>
      <c r="AL925" s="4">
        <v>0</v>
      </c>
      <c r="AM925" s="4">
        <v>0</v>
      </c>
      <c r="AN925" s="4">
        <v>0</v>
      </c>
      <c r="AO925" s="4">
        <v>0</v>
      </c>
      <c r="AP925" s="3" t="s">
        <v>58</v>
      </c>
      <c r="AQ925" s="3" t="s">
        <v>58</v>
      </c>
      <c r="AS925" s="6" t="str">
        <f>HYPERLINK("https://creighton-primo.hosted.exlibrisgroup.com/primo-explore/search?tab=default_tab&amp;search_scope=EVERYTHING&amp;vid=01CRU&amp;lang=en_US&amp;offset=0&amp;query=any,contains,991002395279702656","Catalog Record")</f>
        <v>Catalog Record</v>
      </c>
      <c r="AT925" s="6" t="str">
        <f>HYPERLINK("http://www.worldcat.org/oclc/334434","WorldCat Record")</f>
        <v>WorldCat Record</v>
      </c>
      <c r="AU925" s="3" t="s">
        <v>11663</v>
      </c>
      <c r="AV925" s="3" t="s">
        <v>11664</v>
      </c>
      <c r="AW925" s="3" t="s">
        <v>11665</v>
      </c>
      <c r="AX925" s="3" t="s">
        <v>11665</v>
      </c>
      <c r="AY925" s="3" t="s">
        <v>11666</v>
      </c>
      <c r="AZ925" s="3" t="s">
        <v>75</v>
      </c>
      <c r="BC925" s="3" t="s">
        <v>11667</v>
      </c>
      <c r="BD925" s="3" t="s">
        <v>11668</v>
      </c>
    </row>
    <row r="926" spans="1:56" ht="39" customHeight="1" x14ac:dyDescent="0.25">
      <c r="A926" s="7" t="s">
        <v>58</v>
      </c>
      <c r="B926" s="2" t="s">
        <v>11669</v>
      </c>
      <c r="C926" s="2" t="s">
        <v>11670</v>
      </c>
      <c r="D926" s="2" t="s">
        <v>11671</v>
      </c>
      <c r="F926" s="3" t="s">
        <v>58</v>
      </c>
      <c r="G926" s="3" t="s">
        <v>59</v>
      </c>
      <c r="H926" s="3" t="s">
        <v>58</v>
      </c>
      <c r="I926" s="3" t="s">
        <v>58</v>
      </c>
      <c r="J926" s="3" t="s">
        <v>60</v>
      </c>
      <c r="K926" s="2" t="s">
        <v>11672</v>
      </c>
      <c r="L926" s="2" t="s">
        <v>11673</v>
      </c>
      <c r="M926" s="3" t="s">
        <v>229</v>
      </c>
      <c r="O926" s="3" t="s">
        <v>65</v>
      </c>
      <c r="P926" s="3" t="s">
        <v>11290</v>
      </c>
      <c r="R926" s="3" t="s">
        <v>68</v>
      </c>
      <c r="S926" s="4">
        <v>3</v>
      </c>
      <c r="T926" s="4">
        <v>3</v>
      </c>
      <c r="U926" s="5" t="s">
        <v>11674</v>
      </c>
      <c r="V926" s="5" t="s">
        <v>11674</v>
      </c>
      <c r="W926" s="5" t="s">
        <v>8315</v>
      </c>
      <c r="X926" s="5" t="s">
        <v>8315</v>
      </c>
      <c r="Y926" s="4">
        <v>46</v>
      </c>
      <c r="Z926" s="4">
        <v>10</v>
      </c>
      <c r="AA926" s="4">
        <v>43</v>
      </c>
      <c r="AB926" s="4">
        <v>1</v>
      </c>
      <c r="AC926" s="4">
        <v>1</v>
      </c>
      <c r="AD926" s="4">
        <v>1</v>
      </c>
      <c r="AE926" s="4">
        <v>5</v>
      </c>
      <c r="AF926" s="4">
        <v>0</v>
      </c>
      <c r="AG926" s="4">
        <v>2</v>
      </c>
      <c r="AH926" s="4">
        <v>0</v>
      </c>
      <c r="AI926" s="4">
        <v>2</v>
      </c>
      <c r="AJ926" s="4">
        <v>1</v>
      </c>
      <c r="AK926" s="4">
        <v>3</v>
      </c>
      <c r="AL926" s="4">
        <v>0</v>
      </c>
      <c r="AM926" s="4">
        <v>0</v>
      </c>
      <c r="AN926" s="4">
        <v>0</v>
      </c>
      <c r="AO926" s="4">
        <v>0</v>
      </c>
      <c r="AP926" s="3" t="s">
        <v>58</v>
      </c>
      <c r="AQ926" s="3" t="s">
        <v>58</v>
      </c>
      <c r="AS926" s="6" t="str">
        <f>HYPERLINK("https://creighton-primo.hosted.exlibrisgroup.com/primo-explore/search?tab=default_tab&amp;search_scope=EVERYTHING&amp;vid=01CRU&amp;lang=en_US&amp;offset=0&amp;query=any,contains,991004203869702656","Catalog Record")</f>
        <v>Catalog Record</v>
      </c>
      <c r="AT926" s="6" t="str">
        <f>HYPERLINK("http://www.worldcat.org/oclc/29007969","WorldCat Record")</f>
        <v>WorldCat Record</v>
      </c>
      <c r="AU926" s="3" t="s">
        <v>11675</v>
      </c>
      <c r="AV926" s="3" t="s">
        <v>11676</v>
      </c>
      <c r="AW926" s="3" t="s">
        <v>11677</v>
      </c>
      <c r="AX926" s="3" t="s">
        <v>11677</v>
      </c>
      <c r="AY926" s="3" t="s">
        <v>11678</v>
      </c>
      <c r="AZ926" s="3" t="s">
        <v>75</v>
      </c>
      <c r="BB926" s="3" t="s">
        <v>11679</v>
      </c>
      <c r="BC926" s="3" t="s">
        <v>11680</v>
      </c>
      <c r="BD926" s="3" t="s">
        <v>11681</v>
      </c>
    </row>
    <row r="927" spans="1:56" ht="39" customHeight="1" x14ac:dyDescent="0.25">
      <c r="A927" s="7" t="s">
        <v>58</v>
      </c>
      <c r="B927" s="2" t="s">
        <v>11682</v>
      </c>
      <c r="C927" s="2" t="s">
        <v>11683</v>
      </c>
      <c r="D927" s="2" t="s">
        <v>11684</v>
      </c>
      <c r="F927" s="3" t="s">
        <v>58</v>
      </c>
      <c r="G927" s="3" t="s">
        <v>59</v>
      </c>
      <c r="H927" s="3" t="s">
        <v>58</v>
      </c>
      <c r="I927" s="3" t="s">
        <v>58</v>
      </c>
      <c r="J927" s="3" t="s">
        <v>60</v>
      </c>
      <c r="K927" s="2" t="s">
        <v>11685</v>
      </c>
      <c r="L927" s="2" t="s">
        <v>11686</v>
      </c>
      <c r="M927" s="3" t="s">
        <v>374</v>
      </c>
      <c r="O927" s="3" t="s">
        <v>65</v>
      </c>
      <c r="P927" s="3" t="s">
        <v>304</v>
      </c>
      <c r="Q927" s="2" t="s">
        <v>11687</v>
      </c>
      <c r="R927" s="3" t="s">
        <v>68</v>
      </c>
      <c r="S927" s="4">
        <v>7</v>
      </c>
      <c r="T927" s="4">
        <v>7</v>
      </c>
      <c r="U927" s="5" t="s">
        <v>11228</v>
      </c>
      <c r="V927" s="5" t="s">
        <v>11228</v>
      </c>
      <c r="W927" s="5" t="s">
        <v>6730</v>
      </c>
      <c r="X927" s="5" t="s">
        <v>6730</v>
      </c>
      <c r="Y927" s="4">
        <v>191</v>
      </c>
      <c r="Z927" s="4">
        <v>155</v>
      </c>
      <c r="AA927" s="4">
        <v>157</v>
      </c>
      <c r="AB927" s="4">
        <v>2</v>
      </c>
      <c r="AC927" s="4">
        <v>2</v>
      </c>
      <c r="AD927" s="4">
        <v>15</v>
      </c>
      <c r="AE927" s="4">
        <v>15</v>
      </c>
      <c r="AF927" s="4">
        <v>4</v>
      </c>
      <c r="AG927" s="4">
        <v>4</v>
      </c>
      <c r="AH927" s="4">
        <v>5</v>
      </c>
      <c r="AI927" s="4">
        <v>5</v>
      </c>
      <c r="AJ927" s="4">
        <v>10</v>
      </c>
      <c r="AK927" s="4">
        <v>10</v>
      </c>
      <c r="AL927" s="4">
        <v>1</v>
      </c>
      <c r="AM927" s="4">
        <v>1</v>
      </c>
      <c r="AN927" s="4">
        <v>0</v>
      </c>
      <c r="AO927" s="4">
        <v>0</v>
      </c>
      <c r="AP927" s="3" t="s">
        <v>58</v>
      </c>
      <c r="AQ927" s="3" t="s">
        <v>132</v>
      </c>
      <c r="AR927" s="6" t="str">
        <f>HYPERLINK("http://catalog.hathitrust.org/Record/003064824","HathiTrust Record")</f>
        <v>HathiTrust Record</v>
      </c>
      <c r="AS927" s="6" t="str">
        <f>HYPERLINK("https://creighton-primo.hosted.exlibrisgroup.com/primo-explore/search?tab=default_tab&amp;search_scope=EVERYTHING&amp;vid=01CRU&amp;lang=en_US&amp;offset=0&amp;query=any,contains,991002437069702656","Catalog Record")</f>
        <v>Catalog Record</v>
      </c>
      <c r="AT927" s="6" t="str">
        <f>HYPERLINK("http://www.worldcat.org/oclc/31755360","WorldCat Record")</f>
        <v>WorldCat Record</v>
      </c>
      <c r="AU927" s="3" t="s">
        <v>11688</v>
      </c>
      <c r="AV927" s="3" t="s">
        <v>11689</v>
      </c>
      <c r="AW927" s="3" t="s">
        <v>11690</v>
      </c>
      <c r="AX927" s="3" t="s">
        <v>11690</v>
      </c>
      <c r="AY927" s="3" t="s">
        <v>11691</v>
      </c>
      <c r="AZ927" s="3" t="s">
        <v>75</v>
      </c>
      <c r="BB927" s="3" t="s">
        <v>11692</v>
      </c>
      <c r="BC927" s="3" t="s">
        <v>11693</v>
      </c>
      <c r="BD927" s="3" t="s">
        <v>11694</v>
      </c>
    </row>
    <row r="928" spans="1:56" ht="39" customHeight="1" x14ac:dyDescent="0.25">
      <c r="A928" s="7" t="s">
        <v>58</v>
      </c>
      <c r="B928" s="2" t="s">
        <v>11695</v>
      </c>
      <c r="C928" s="2" t="s">
        <v>11696</v>
      </c>
      <c r="D928" s="2" t="s">
        <v>11697</v>
      </c>
      <c r="F928" s="3" t="s">
        <v>58</v>
      </c>
      <c r="G928" s="3" t="s">
        <v>59</v>
      </c>
      <c r="H928" s="3" t="s">
        <v>58</v>
      </c>
      <c r="I928" s="3" t="s">
        <v>58</v>
      </c>
      <c r="J928" s="3" t="s">
        <v>60</v>
      </c>
      <c r="K928" s="2" t="s">
        <v>9410</v>
      </c>
      <c r="L928" s="2" t="s">
        <v>11698</v>
      </c>
      <c r="M928" s="3" t="s">
        <v>966</v>
      </c>
      <c r="O928" s="3" t="s">
        <v>65</v>
      </c>
      <c r="P928" s="3" t="s">
        <v>304</v>
      </c>
      <c r="R928" s="3" t="s">
        <v>68</v>
      </c>
      <c r="S928" s="4">
        <v>4</v>
      </c>
      <c r="T928" s="4">
        <v>4</v>
      </c>
      <c r="U928" s="5" t="s">
        <v>8112</v>
      </c>
      <c r="V928" s="5" t="s">
        <v>8112</v>
      </c>
      <c r="W928" s="5" t="s">
        <v>11699</v>
      </c>
      <c r="X928" s="5" t="s">
        <v>11699</v>
      </c>
      <c r="Y928" s="4">
        <v>349</v>
      </c>
      <c r="Z928" s="4">
        <v>314</v>
      </c>
      <c r="AA928" s="4">
        <v>321</v>
      </c>
      <c r="AB928" s="4">
        <v>4</v>
      </c>
      <c r="AC928" s="4">
        <v>4</v>
      </c>
      <c r="AD928" s="4">
        <v>20</v>
      </c>
      <c r="AE928" s="4">
        <v>20</v>
      </c>
      <c r="AF928" s="4">
        <v>7</v>
      </c>
      <c r="AG928" s="4">
        <v>7</v>
      </c>
      <c r="AH928" s="4">
        <v>5</v>
      </c>
      <c r="AI928" s="4">
        <v>5</v>
      </c>
      <c r="AJ928" s="4">
        <v>12</v>
      </c>
      <c r="AK928" s="4">
        <v>12</v>
      </c>
      <c r="AL928" s="4">
        <v>2</v>
      </c>
      <c r="AM928" s="4">
        <v>2</v>
      </c>
      <c r="AN928" s="4">
        <v>0</v>
      </c>
      <c r="AO928" s="4">
        <v>0</v>
      </c>
      <c r="AP928" s="3" t="s">
        <v>58</v>
      </c>
      <c r="AQ928" s="3" t="s">
        <v>132</v>
      </c>
      <c r="AR928" s="6" t="str">
        <f>HYPERLINK("http://catalog.hathitrust.org/Record/002797819","HathiTrust Record")</f>
        <v>HathiTrust Record</v>
      </c>
      <c r="AS928" s="6" t="str">
        <f>HYPERLINK("https://creighton-primo.hosted.exlibrisgroup.com/primo-explore/search?tab=default_tab&amp;search_scope=EVERYTHING&amp;vid=01CRU&amp;lang=en_US&amp;offset=0&amp;query=any,contains,991002186909702656","Catalog Record")</f>
        <v>Catalog Record</v>
      </c>
      <c r="AT928" s="6" t="str">
        <f>HYPERLINK("http://www.worldcat.org/oclc/28149059","WorldCat Record")</f>
        <v>WorldCat Record</v>
      </c>
      <c r="AU928" s="3" t="s">
        <v>11700</v>
      </c>
      <c r="AV928" s="3" t="s">
        <v>11701</v>
      </c>
      <c r="AW928" s="3" t="s">
        <v>11702</v>
      </c>
      <c r="AX928" s="3" t="s">
        <v>11702</v>
      </c>
      <c r="AY928" s="3" t="s">
        <v>11703</v>
      </c>
      <c r="AZ928" s="3" t="s">
        <v>75</v>
      </c>
      <c r="BB928" s="3" t="s">
        <v>11704</v>
      </c>
      <c r="BC928" s="3" t="s">
        <v>11705</v>
      </c>
      <c r="BD928" s="3" t="s">
        <v>11706</v>
      </c>
    </row>
    <row r="929" spans="1:56" ht="39" customHeight="1" x14ac:dyDescent="0.25">
      <c r="A929" s="7" t="s">
        <v>58</v>
      </c>
      <c r="B929" s="2" t="s">
        <v>11707</v>
      </c>
      <c r="C929" s="2" t="s">
        <v>11708</v>
      </c>
      <c r="D929" s="2" t="s">
        <v>11709</v>
      </c>
      <c r="F929" s="3" t="s">
        <v>58</v>
      </c>
      <c r="G929" s="3" t="s">
        <v>59</v>
      </c>
      <c r="H929" s="3" t="s">
        <v>58</v>
      </c>
      <c r="I929" s="3" t="s">
        <v>58</v>
      </c>
      <c r="J929" s="3" t="s">
        <v>60</v>
      </c>
      <c r="K929" s="2" t="s">
        <v>2841</v>
      </c>
      <c r="L929" s="2" t="s">
        <v>10525</v>
      </c>
      <c r="M929" s="3" t="s">
        <v>1046</v>
      </c>
      <c r="O929" s="3" t="s">
        <v>65</v>
      </c>
      <c r="P929" s="3" t="s">
        <v>186</v>
      </c>
      <c r="R929" s="3" t="s">
        <v>68</v>
      </c>
      <c r="S929" s="4">
        <v>3</v>
      </c>
      <c r="T929" s="4">
        <v>3</v>
      </c>
      <c r="U929" s="5" t="s">
        <v>11710</v>
      </c>
      <c r="V929" s="5" t="s">
        <v>11710</v>
      </c>
      <c r="W929" s="5" t="s">
        <v>11639</v>
      </c>
      <c r="X929" s="5" t="s">
        <v>11639</v>
      </c>
      <c r="Y929" s="4">
        <v>64</v>
      </c>
      <c r="Z929" s="4">
        <v>59</v>
      </c>
      <c r="AA929" s="4">
        <v>59</v>
      </c>
      <c r="AB929" s="4">
        <v>2</v>
      </c>
      <c r="AC929" s="4">
        <v>2</v>
      </c>
      <c r="AD929" s="4">
        <v>3</v>
      </c>
      <c r="AE929" s="4">
        <v>3</v>
      </c>
      <c r="AF929" s="4">
        <v>0</v>
      </c>
      <c r="AG929" s="4">
        <v>0</v>
      </c>
      <c r="AH929" s="4">
        <v>2</v>
      </c>
      <c r="AI929" s="4">
        <v>2</v>
      </c>
      <c r="AJ929" s="4">
        <v>2</v>
      </c>
      <c r="AK929" s="4">
        <v>2</v>
      </c>
      <c r="AL929" s="4">
        <v>0</v>
      </c>
      <c r="AM929" s="4">
        <v>0</v>
      </c>
      <c r="AN929" s="4">
        <v>0</v>
      </c>
      <c r="AO929" s="4">
        <v>0</v>
      </c>
      <c r="AP929" s="3" t="s">
        <v>58</v>
      </c>
      <c r="AQ929" s="3" t="s">
        <v>58</v>
      </c>
      <c r="AS929" s="6" t="str">
        <f>HYPERLINK("https://creighton-primo.hosted.exlibrisgroup.com/primo-explore/search?tab=default_tab&amp;search_scope=EVERYTHING&amp;vid=01CRU&amp;lang=en_US&amp;offset=0&amp;query=any,contains,991000865499702656","Catalog Record")</f>
        <v>Catalog Record</v>
      </c>
      <c r="AT929" s="6" t="str">
        <f>HYPERLINK("http://www.worldcat.org/oclc/13741031","WorldCat Record")</f>
        <v>WorldCat Record</v>
      </c>
      <c r="AU929" s="3" t="s">
        <v>11711</v>
      </c>
      <c r="AV929" s="3" t="s">
        <v>11712</v>
      </c>
      <c r="AW929" s="3" t="s">
        <v>11713</v>
      </c>
      <c r="AX929" s="3" t="s">
        <v>11713</v>
      </c>
      <c r="AY929" s="3" t="s">
        <v>11714</v>
      </c>
      <c r="AZ929" s="3" t="s">
        <v>75</v>
      </c>
      <c r="BB929" s="3" t="s">
        <v>11715</v>
      </c>
      <c r="BC929" s="3" t="s">
        <v>11716</v>
      </c>
      <c r="BD929" s="3" t="s">
        <v>11717</v>
      </c>
    </row>
    <row r="930" spans="1:56" ht="39" customHeight="1" x14ac:dyDescent="0.25">
      <c r="A930" s="7" t="s">
        <v>58</v>
      </c>
      <c r="B930" s="2" t="s">
        <v>11718</v>
      </c>
      <c r="C930" s="2" t="s">
        <v>11719</v>
      </c>
      <c r="D930" s="2" t="s">
        <v>11720</v>
      </c>
      <c r="F930" s="3" t="s">
        <v>58</v>
      </c>
      <c r="G930" s="3" t="s">
        <v>59</v>
      </c>
      <c r="H930" s="3" t="s">
        <v>58</v>
      </c>
      <c r="I930" s="3" t="s">
        <v>58</v>
      </c>
      <c r="J930" s="3" t="s">
        <v>60</v>
      </c>
      <c r="K930" s="2" t="s">
        <v>2429</v>
      </c>
      <c r="L930" s="2" t="s">
        <v>7726</v>
      </c>
      <c r="M930" s="3" t="s">
        <v>185</v>
      </c>
      <c r="O930" s="3" t="s">
        <v>65</v>
      </c>
      <c r="P930" s="3" t="s">
        <v>304</v>
      </c>
      <c r="R930" s="3" t="s">
        <v>68</v>
      </c>
      <c r="S930" s="4">
        <v>6</v>
      </c>
      <c r="T930" s="4">
        <v>6</v>
      </c>
      <c r="U930" s="5" t="s">
        <v>11721</v>
      </c>
      <c r="V930" s="5" t="s">
        <v>11721</v>
      </c>
      <c r="W930" s="5" t="s">
        <v>7981</v>
      </c>
      <c r="X930" s="5" t="s">
        <v>7981</v>
      </c>
      <c r="Y930" s="4">
        <v>112</v>
      </c>
      <c r="Z930" s="4">
        <v>96</v>
      </c>
      <c r="AA930" s="4">
        <v>96</v>
      </c>
      <c r="AB930" s="4">
        <v>1</v>
      </c>
      <c r="AC930" s="4">
        <v>1</v>
      </c>
      <c r="AD930" s="4">
        <v>6</v>
      </c>
      <c r="AE930" s="4">
        <v>6</v>
      </c>
      <c r="AF930" s="4">
        <v>2</v>
      </c>
      <c r="AG930" s="4">
        <v>2</v>
      </c>
      <c r="AH930" s="4">
        <v>1</v>
      </c>
      <c r="AI930" s="4">
        <v>1</v>
      </c>
      <c r="AJ930" s="4">
        <v>4</v>
      </c>
      <c r="AK930" s="4">
        <v>4</v>
      </c>
      <c r="AL930" s="4">
        <v>0</v>
      </c>
      <c r="AM930" s="4">
        <v>0</v>
      </c>
      <c r="AN930" s="4">
        <v>0</v>
      </c>
      <c r="AO930" s="4">
        <v>0</v>
      </c>
      <c r="AP930" s="3" t="s">
        <v>58</v>
      </c>
      <c r="AQ930" s="3" t="s">
        <v>58</v>
      </c>
      <c r="AS930" s="6" t="str">
        <f>HYPERLINK("https://creighton-primo.hosted.exlibrisgroup.com/primo-explore/search?tab=default_tab&amp;search_scope=EVERYTHING&amp;vid=01CRU&amp;lang=en_US&amp;offset=0&amp;query=any,contains,991003576469702656","Catalog Record")</f>
        <v>Catalog Record</v>
      </c>
      <c r="AT930" s="6" t="str">
        <f>HYPERLINK("http://www.worldcat.org/oclc/43539385","WorldCat Record")</f>
        <v>WorldCat Record</v>
      </c>
      <c r="AU930" s="3" t="s">
        <v>11722</v>
      </c>
      <c r="AV930" s="3" t="s">
        <v>11723</v>
      </c>
      <c r="AW930" s="3" t="s">
        <v>11724</v>
      </c>
      <c r="AX930" s="3" t="s">
        <v>11724</v>
      </c>
      <c r="AY930" s="3" t="s">
        <v>11725</v>
      </c>
      <c r="AZ930" s="3" t="s">
        <v>75</v>
      </c>
      <c r="BB930" s="3" t="s">
        <v>11726</v>
      </c>
      <c r="BC930" s="3" t="s">
        <v>11727</v>
      </c>
      <c r="BD930" s="3" t="s">
        <v>11728</v>
      </c>
    </row>
    <row r="931" spans="1:56" ht="39" customHeight="1" x14ac:dyDescent="0.25">
      <c r="A931" s="7" t="s">
        <v>58</v>
      </c>
      <c r="B931" s="2" t="s">
        <v>11729</v>
      </c>
      <c r="C931" s="2" t="s">
        <v>11730</v>
      </c>
      <c r="D931" s="2" t="s">
        <v>11731</v>
      </c>
      <c r="F931" s="3" t="s">
        <v>58</v>
      </c>
      <c r="G931" s="3" t="s">
        <v>59</v>
      </c>
      <c r="H931" s="3" t="s">
        <v>58</v>
      </c>
      <c r="I931" s="3" t="s">
        <v>58</v>
      </c>
      <c r="J931" s="3" t="s">
        <v>60</v>
      </c>
      <c r="K931" s="2" t="s">
        <v>7259</v>
      </c>
      <c r="L931" s="2" t="s">
        <v>11612</v>
      </c>
      <c r="M931" s="3" t="s">
        <v>3656</v>
      </c>
      <c r="O931" s="3" t="s">
        <v>65</v>
      </c>
      <c r="P931" s="3" t="s">
        <v>186</v>
      </c>
      <c r="R931" s="3" t="s">
        <v>68</v>
      </c>
      <c r="S931" s="4">
        <v>8</v>
      </c>
      <c r="T931" s="4">
        <v>8</v>
      </c>
      <c r="U931" s="5" t="s">
        <v>11732</v>
      </c>
      <c r="V931" s="5" t="s">
        <v>11732</v>
      </c>
      <c r="W931" s="5" t="s">
        <v>11733</v>
      </c>
      <c r="X931" s="5" t="s">
        <v>11733</v>
      </c>
      <c r="Y931" s="4">
        <v>96</v>
      </c>
      <c r="Z931" s="4">
        <v>92</v>
      </c>
      <c r="AA931" s="4">
        <v>102</v>
      </c>
      <c r="AB931" s="4">
        <v>1</v>
      </c>
      <c r="AC931" s="4">
        <v>1</v>
      </c>
      <c r="AD931" s="4">
        <v>6</v>
      </c>
      <c r="AE931" s="4">
        <v>8</v>
      </c>
      <c r="AF931" s="4">
        <v>5</v>
      </c>
      <c r="AG931" s="4">
        <v>5</v>
      </c>
      <c r="AH931" s="4">
        <v>1</v>
      </c>
      <c r="AI931" s="4">
        <v>3</v>
      </c>
      <c r="AJ931" s="4">
        <v>4</v>
      </c>
      <c r="AK931" s="4">
        <v>4</v>
      </c>
      <c r="AL931" s="4">
        <v>0</v>
      </c>
      <c r="AM931" s="4">
        <v>0</v>
      </c>
      <c r="AN931" s="4">
        <v>0</v>
      </c>
      <c r="AO931" s="4">
        <v>0</v>
      </c>
      <c r="AP931" s="3" t="s">
        <v>58</v>
      </c>
      <c r="AQ931" s="3" t="s">
        <v>58</v>
      </c>
      <c r="AS931" s="6" t="str">
        <f>HYPERLINK("https://creighton-primo.hosted.exlibrisgroup.com/primo-explore/search?tab=default_tab&amp;search_scope=EVERYTHING&amp;vid=01CRU&amp;lang=en_US&amp;offset=0&amp;query=any,contains,991002848039702656","Catalog Record")</f>
        <v>Catalog Record</v>
      </c>
      <c r="AT931" s="6" t="str">
        <f>HYPERLINK("http://www.worldcat.org/oclc/37527740","WorldCat Record")</f>
        <v>WorldCat Record</v>
      </c>
      <c r="AU931" s="3" t="s">
        <v>11734</v>
      </c>
      <c r="AV931" s="3" t="s">
        <v>11735</v>
      </c>
      <c r="AW931" s="3" t="s">
        <v>11736</v>
      </c>
      <c r="AX931" s="3" t="s">
        <v>11736</v>
      </c>
      <c r="AY931" s="3" t="s">
        <v>11737</v>
      </c>
      <c r="AZ931" s="3" t="s">
        <v>75</v>
      </c>
      <c r="BB931" s="3" t="s">
        <v>11738</v>
      </c>
      <c r="BC931" s="3" t="s">
        <v>11739</v>
      </c>
      <c r="BD931" s="3" t="s">
        <v>11740</v>
      </c>
    </row>
    <row r="932" spans="1:56" ht="39" customHeight="1" x14ac:dyDescent="0.25">
      <c r="A932" s="7" t="s">
        <v>58</v>
      </c>
      <c r="B932" s="2" t="s">
        <v>11741</v>
      </c>
      <c r="C932" s="2" t="s">
        <v>11742</v>
      </c>
      <c r="D932" s="2" t="s">
        <v>11743</v>
      </c>
      <c r="F932" s="3" t="s">
        <v>58</v>
      </c>
      <c r="G932" s="3" t="s">
        <v>59</v>
      </c>
      <c r="H932" s="3" t="s">
        <v>58</v>
      </c>
      <c r="I932" s="3" t="s">
        <v>58</v>
      </c>
      <c r="J932" s="3" t="s">
        <v>60</v>
      </c>
      <c r="K932" s="2" t="s">
        <v>9893</v>
      </c>
      <c r="L932" s="2" t="s">
        <v>11744</v>
      </c>
      <c r="M932" s="3" t="s">
        <v>229</v>
      </c>
      <c r="O932" s="3" t="s">
        <v>65</v>
      </c>
      <c r="P932" s="3" t="s">
        <v>186</v>
      </c>
      <c r="R932" s="3" t="s">
        <v>68</v>
      </c>
      <c r="S932" s="4">
        <v>7</v>
      </c>
      <c r="T932" s="4">
        <v>7</v>
      </c>
      <c r="U932" s="5" t="s">
        <v>9895</v>
      </c>
      <c r="V932" s="5" t="s">
        <v>9895</v>
      </c>
      <c r="W932" s="5" t="s">
        <v>11639</v>
      </c>
      <c r="X932" s="5" t="s">
        <v>11639</v>
      </c>
      <c r="Y932" s="4">
        <v>111</v>
      </c>
      <c r="Z932" s="4">
        <v>95</v>
      </c>
      <c r="AA932" s="4">
        <v>125</v>
      </c>
      <c r="AB932" s="4">
        <v>2</v>
      </c>
      <c r="AC932" s="4">
        <v>2</v>
      </c>
      <c r="AD932" s="4">
        <v>6</v>
      </c>
      <c r="AE932" s="4">
        <v>10</v>
      </c>
      <c r="AF932" s="4">
        <v>1</v>
      </c>
      <c r="AG932" s="4">
        <v>2</v>
      </c>
      <c r="AH932" s="4">
        <v>1</v>
      </c>
      <c r="AI932" s="4">
        <v>1</v>
      </c>
      <c r="AJ932" s="4">
        <v>4</v>
      </c>
      <c r="AK932" s="4">
        <v>8</v>
      </c>
      <c r="AL932" s="4">
        <v>0</v>
      </c>
      <c r="AM932" s="4">
        <v>0</v>
      </c>
      <c r="AN932" s="4">
        <v>0</v>
      </c>
      <c r="AO932" s="4">
        <v>0</v>
      </c>
      <c r="AP932" s="3" t="s">
        <v>58</v>
      </c>
      <c r="AQ932" s="3" t="s">
        <v>58</v>
      </c>
      <c r="AS932" s="6" t="str">
        <f>HYPERLINK("https://creighton-primo.hosted.exlibrisgroup.com/primo-explore/search?tab=default_tab&amp;search_scope=EVERYTHING&amp;vid=01CRU&amp;lang=en_US&amp;offset=0&amp;query=any,contains,991001482189702656","Catalog Record")</f>
        <v>Catalog Record</v>
      </c>
      <c r="AT932" s="6" t="str">
        <f>HYPERLINK("http://www.worldcat.org/oclc/19627501","WorldCat Record")</f>
        <v>WorldCat Record</v>
      </c>
      <c r="AU932" s="3" t="s">
        <v>11745</v>
      </c>
      <c r="AV932" s="3" t="s">
        <v>11746</v>
      </c>
      <c r="AW932" s="3" t="s">
        <v>11747</v>
      </c>
      <c r="AX932" s="3" t="s">
        <v>11747</v>
      </c>
      <c r="AY932" s="3" t="s">
        <v>11748</v>
      </c>
      <c r="AZ932" s="3" t="s">
        <v>75</v>
      </c>
      <c r="BB932" s="3" t="s">
        <v>11749</v>
      </c>
      <c r="BC932" s="3" t="s">
        <v>11750</v>
      </c>
      <c r="BD932" s="3" t="s">
        <v>11751</v>
      </c>
    </row>
    <row r="933" spans="1:56" ht="39" customHeight="1" x14ac:dyDescent="0.25">
      <c r="A933" s="7" t="s">
        <v>58</v>
      </c>
      <c r="B933" s="2" t="s">
        <v>11752</v>
      </c>
      <c r="C933" s="2" t="s">
        <v>11753</v>
      </c>
      <c r="D933" s="2" t="s">
        <v>11754</v>
      </c>
      <c r="F933" s="3" t="s">
        <v>58</v>
      </c>
      <c r="G933" s="3" t="s">
        <v>59</v>
      </c>
      <c r="H933" s="3" t="s">
        <v>58</v>
      </c>
      <c r="I933" s="3" t="s">
        <v>58</v>
      </c>
      <c r="J933" s="3" t="s">
        <v>60</v>
      </c>
      <c r="K933" s="2" t="s">
        <v>11755</v>
      </c>
      <c r="L933" s="2" t="s">
        <v>11756</v>
      </c>
      <c r="M933" s="3" t="s">
        <v>2067</v>
      </c>
      <c r="O933" s="3" t="s">
        <v>65</v>
      </c>
      <c r="P933" s="3" t="s">
        <v>492</v>
      </c>
      <c r="R933" s="3" t="s">
        <v>68</v>
      </c>
      <c r="S933" s="4">
        <v>5</v>
      </c>
      <c r="T933" s="4">
        <v>5</v>
      </c>
      <c r="U933" s="5" t="s">
        <v>11757</v>
      </c>
      <c r="V933" s="5" t="s">
        <v>11757</v>
      </c>
      <c r="W933" s="5" t="s">
        <v>11639</v>
      </c>
      <c r="X933" s="5" t="s">
        <v>11639</v>
      </c>
      <c r="Y933" s="4">
        <v>303</v>
      </c>
      <c r="Z933" s="4">
        <v>282</v>
      </c>
      <c r="AA933" s="4">
        <v>298</v>
      </c>
      <c r="AB933" s="4">
        <v>1</v>
      </c>
      <c r="AC933" s="4">
        <v>1</v>
      </c>
      <c r="AD933" s="4">
        <v>26</v>
      </c>
      <c r="AE933" s="4">
        <v>27</v>
      </c>
      <c r="AF933" s="4">
        <v>8</v>
      </c>
      <c r="AG933" s="4">
        <v>9</v>
      </c>
      <c r="AH933" s="4">
        <v>7</v>
      </c>
      <c r="AI933" s="4">
        <v>7</v>
      </c>
      <c r="AJ933" s="4">
        <v>21</v>
      </c>
      <c r="AK933" s="4">
        <v>22</v>
      </c>
      <c r="AL933" s="4">
        <v>0</v>
      </c>
      <c r="AM933" s="4">
        <v>0</v>
      </c>
      <c r="AN933" s="4">
        <v>0</v>
      </c>
      <c r="AO933" s="4">
        <v>0</v>
      </c>
      <c r="AP933" s="3" t="s">
        <v>58</v>
      </c>
      <c r="AQ933" s="3" t="s">
        <v>58</v>
      </c>
      <c r="AR933" s="6" t="str">
        <f>HYPERLINK("http://catalog.hathitrust.org/Record/001415101","HathiTrust Record")</f>
        <v>HathiTrust Record</v>
      </c>
      <c r="AS933" s="6" t="str">
        <f>HYPERLINK("https://creighton-primo.hosted.exlibrisgroup.com/primo-explore/search?tab=default_tab&amp;search_scope=EVERYTHING&amp;vid=01CRU&amp;lang=en_US&amp;offset=0&amp;query=any,contains,991002640839702656","Catalog Record")</f>
        <v>Catalog Record</v>
      </c>
      <c r="AT933" s="6" t="str">
        <f>HYPERLINK("http://www.worldcat.org/oclc/384297","WorldCat Record")</f>
        <v>WorldCat Record</v>
      </c>
      <c r="AU933" s="3" t="s">
        <v>11758</v>
      </c>
      <c r="AV933" s="3" t="s">
        <v>11759</v>
      </c>
      <c r="AW933" s="3" t="s">
        <v>11760</v>
      </c>
      <c r="AX933" s="3" t="s">
        <v>11760</v>
      </c>
      <c r="AY933" s="3" t="s">
        <v>11761</v>
      </c>
      <c r="AZ933" s="3" t="s">
        <v>75</v>
      </c>
      <c r="BC933" s="3" t="s">
        <v>11762</v>
      </c>
      <c r="BD933" s="3" t="s">
        <v>11763</v>
      </c>
    </row>
    <row r="934" spans="1:56" ht="39" customHeight="1" x14ac:dyDescent="0.25">
      <c r="A934" s="7" t="s">
        <v>58</v>
      </c>
      <c r="B934" s="2" t="s">
        <v>11764</v>
      </c>
      <c r="C934" s="2" t="s">
        <v>11765</v>
      </c>
      <c r="D934" s="2" t="s">
        <v>11766</v>
      </c>
      <c r="F934" s="3" t="s">
        <v>58</v>
      </c>
      <c r="G934" s="3" t="s">
        <v>59</v>
      </c>
      <c r="H934" s="3" t="s">
        <v>58</v>
      </c>
      <c r="I934" s="3" t="s">
        <v>58</v>
      </c>
      <c r="J934" s="3" t="s">
        <v>60</v>
      </c>
      <c r="K934" s="2" t="s">
        <v>2596</v>
      </c>
      <c r="L934" s="2" t="s">
        <v>11767</v>
      </c>
      <c r="M934" s="3" t="s">
        <v>128</v>
      </c>
      <c r="O934" s="3" t="s">
        <v>65</v>
      </c>
      <c r="P934" s="3" t="s">
        <v>492</v>
      </c>
      <c r="R934" s="3" t="s">
        <v>68</v>
      </c>
      <c r="S934" s="4">
        <v>3</v>
      </c>
      <c r="T934" s="4">
        <v>3</v>
      </c>
      <c r="U934" s="5" t="s">
        <v>11768</v>
      </c>
      <c r="V934" s="5" t="s">
        <v>11768</v>
      </c>
      <c r="W934" s="5" t="s">
        <v>11639</v>
      </c>
      <c r="X934" s="5" t="s">
        <v>11639</v>
      </c>
      <c r="Y934" s="4">
        <v>144</v>
      </c>
      <c r="Z934" s="4">
        <v>120</v>
      </c>
      <c r="AA934" s="4">
        <v>126</v>
      </c>
      <c r="AB934" s="4">
        <v>2</v>
      </c>
      <c r="AC934" s="4">
        <v>2</v>
      </c>
      <c r="AD934" s="4">
        <v>16</v>
      </c>
      <c r="AE934" s="4">
        <v>16</v>
      </c>
      <c r="AF934" s="4">
        <v>3</v>
      </c>
      <c r="AG934" s="4">
        <v>3</v>
      </c>
      <c r="AH934" s="4">
        <v>4</v>
      </c>
      <c r="AI934" s="4">
        <v>4</v>
      </c>
      <c r="AJ934" s="4">
        <v>13</v>
      </c>
      <c r="AK934" s="4">
        <v>13</v>
      </c>
      <c r="AL934" s="4">
        <v>0</v>
      </c>
      <c r="AM934" s="4">
        <v>0</v>
      </c>
      <c r="AN934" s="4">
        <v>0</v>
      </c>
      <c r="AO934" s="4">
        <v>0</v>
      </c>
      <c r="AP934" s="3" t="s">
        <v>58</v>
      </c>
      <c r="AQ934" s="3" t="s">
        <v>58</v>
      </c>
      <c r="AS934" s="6" t="str">
        <f>HYPERLINK("https://creighton-primo.hosted.exlibrisgroup.com/primo-explore/search?tab=default_tab&amp;search_scope=EVERYTHING&amp;vid=01CRU&amp;lang=en_US&amp;offset=0&amp;query=any,contains,991004500239702656","Catalog Record")</f>
        <v>Catalog Record</v>
      </c>
      <c r="AT934" s="6" t="str">
        <f>HYPERLINK("http://www.worldcat.org/oclc/3712049","WorldCat Record")</f>
        <v>WorldCat Record</v>
      </c>
      <c r="AU934" s="3" t="s">
        <v>11769</v>
      </c>
      <c r="AV934" s="3" t="s">
        <v>11770</v>
      </c>
      <c r="AW934" s="3" t="s">
        <v>11771</v>
      </c>
      <c r="AX934" s="3" t="s">
        <v>11771</v>
      </c>
      <c r="AY934" s="3" t="s">
        <v>11772</v>
      </c>
      <c r="AZ934" s="3" t="s">
        <v>75</v>
      </c>
      <c r="BC934" s="3" t="s">
        <v>11773</v>
      </c>
      <c r="BD934" s="3" t="s">
        <v>11774</v>
      </c>
    </row>
    <row r="935" spans="1:56" ht="39" customHeight="1" x14ac:dyDescent="0.25">
      <c r="A935" s="7" t="s">
        <v>58</v>
      </c>
      <c r="B935" s="2" t="s">
        <v>11775</v>
      </c>
      <c r="C935" s="2" t="s">
        <v>11776</v>
      </c>
      <c r="D935" s="2" t="s">
        <v>11777</v>
      </c>
      <c r="F935" s="3" t="s">
        <v>58</v>
      </c>
      <c r="G935" s="3" t="s">
        <v>59</v>
      </c>
      <c r="H935" s="3" t="s">
        <v>58</v>
      </c>
      <c r="I935" s="3" t="s">
        <v>58</v>
      </c>
      <c r="J935" s="3" t="s">
        <v>60</v>
      </c>
      <c r="L935" s="2" t="s">
        <v>5187</v>
      </c>
      <c r="M935" s="3" t="s">
        <v>289</v>
      </c>
      <c r="O935" s="3" t="s">
        <v>65</v>
      </c>
      <c r="P935" s="3" t="s">
        <v>186</v>
      </c>
      <c r="Q935" s="2" t="s">
        <v>6827</v>
      </c>
      <c r="R935" s="3" t="s">
        <v>68</v>
      </c>
      <c r="S935" s="4">
        <v>4</v>
      </c>
      <c r="T935" s="4">
        <v>4</v>
      </c>
      <c r="U935" s="5" t="s">
        <v>11778</v>
      </c>
      <c r="V935" s="5" t="s">
        <v>11778</v>
      </c>
      <c r="W935" s="5" t="s">
        <v>11639</v>
      </c>
      <c r="X935" s="5" t="s">
        <v>11639</v>
      </c>
      <c r="Y935" s="4">
        <v>209</v>
      </c>
      <c r="Z935" s="4">
        <v>190</v>
      </c>
      <c r="AA935" s="4">
        <v>207</v>
      </c>
      <c r="AB935" s="4">
        <v>2</v>
      </c>
      <c r="AC935" s="4">
        <v>2</v>
      </c>
      <c r="AD935" s="4">
        <v>12</v>
      </c>
      <c r="AE935" s="4">
        <v>13</v>
      </c>
      <c r="AF935" s="4">
        <v>4</v>
      </c>
      <c r="AG935" s="4">
        <v>4</v>
      </c>
      <c r="AH935" s="4">
        <v>4</v>
      </c>
      <c r="AI935" s="4">
        <v>4</v>
      </c>
      <c r="AJ935" s="4">
        <v>9</v>
      </c>
      <c r="AK935" s="4">
        <v>10</v>
      </c>
      <c r="AL935" s="4">
        <v>1</v>
      </c>
      <c r="AM935" s="4">
        <v>1</v>
      </c>
      <c r="AN935" s="4">
        <v>0</v>
      </c>
      <c r="AO935" s="4">
        <v>0</v>
      </c>
      <c r="AP935" s="3" t="s">
        <v>58</v>
      </c>
      <c r="AQ935" s="3" t="s">
        <v>58</v>
      </c>
      <c r="AS935" s="6" t="str">
        <f>HYPERLINK("https://creighton-primo.hosted.exlibrisgroup.com/primo-explore/search?tab=default_tab&amp;search_scope=EVERYTHING&amp;vid=01CRU&amp;lang=en_US&amp;offset=0&amp;query=any,contains,991005221439702656","Catalog Record")</f>
        <v>Catalog Record</v>
      </c>
      <c r="AT935" s="6" t="str">
        <f>HYPERLINK("http://www.worldcat.org/oclc/8224537","WorldCat Record")</f>
        <v>WorldCat Record</v>
      </c>
      <c r="AU935" s="3" t="s">
        <v>11779</v>
      </c>
      <c r="AV935" s="3" t="s">
        <v>11780</v>
      </c>
      <c r="AW935" s="3" t="s">
        <v>11781</v>
      </c>
      <c r="AX935" s="3" t="s">
        <v>11781</v>
      </c>
      <c r="AY935" s="3" t="s">
        <v>11782</v>
      </c>
      <c r="AZ935" s="3" t="s">
        <v>75</v>
      </c>
      <c r="BB935" s="3" t="s">
        <v>11783</v>
      </c>
      <c r="BC935" s="3" t="s">
        <v>11784</v>
      </c>
      <c r="BD935" s="3" t="s">
        <v>11785</v>
      </c>
    </row>
    <row r="936" spans="1:56" ht="39" customHeight="1" x14ac:dyDescent="0.25">
      <c r="A936" s="7" t="s">
        <v>58</v>
      </c>
      <c r="B936" s="2" t="s">
        <v>11786</v>
      </c>
      <c r="C936" s="2" t="s">
        <v>11787</v>
      </c>
      <c r="D936" s="2" t="s">
        <v>11788</v>
      </c>
      <c r="F936" s="3" t="s">
        <v>58</v>
      </c>
      <c r="G936" s="3" t="s">
        <v>59</v>
      </c>
      <c r="H936" s="3" t="s">
        <v>58</v>
      </c>
      <c r="I936" s="3" t="s">
        <v>58</v>
      </c>
      <c r="J936" s="3" t="s">
        <v>60</v>
      </c>
      <c r="K936" s="2" t="s">
        <v>11789</v>
      </c>
      <c r="L936" s="2" t="s">
        <v>11790</v>
      </c>
      <c r="M936" s="3" t="s">
        <v>157</v>
      </c>
      <c r="O936" s="3" t="s">
        <v>65</v>
      </c>
      <c r="P936" s="3" t="s">
        <v>2303</v>
      </c>
      <c r="Q936" s="2" t="s">
        <v>11791</v>
      </c>
      <c r="R936" s="3" t="s">
        <v>68</v>
      </c>
      <c r="S936" s="4">
        <v>3</v>
      </c>
      <c r="T936" s="4">
        <v>3</v>
      </c>
      <c r="U936" s="5" t="s">
        <v>11674</v>
      </c>
      <c r="V936" s="5" t="s">
        <v>11674</v>
      </c>
      <c r="W936" s="5" t="s">
        <v>11639</v>
      </c>
      <c r="X936" s="5" t="s">
        <v>11639</v>
      </c>
      <c r="Y936" s="4">
        <v>130</v>
      </c>
      <c r="Z936" s="4">
        <v>111</v>
      </c>
      <c r="AA936" s="4">
        <v>150</v>
      </c>
      <c r="AB936" s="4">
        <v>2</v>
      </c>
      <c r="AC936" s="4">
        <v>2</v>
      </c>
      <c r="AD936" s="4">
        <v>17</v>
      </c>
      <c r="AE936" s="4">
        <v>19</v>
      </c>
      <c r="AF936" s="4">
        <v>4</v>
      </c>
      <c r="AG936" s="4">
        <v>5</v>
      </c>
      <c r="AH936" s="4">
        <v>4</v>
      </c>
      <c r="AI936" s="4">
        <v>4</v>
      </c>
      <c r="AJ936" s="4">
        <v>13</v>
      </c>
      <c r="AK936" s="4">
        <v>14</v>
      </c>
      <c r="AL936" s="4">
        <v>0</v>
      </c>
      <c r="AM936" s="4">
        <v>0</v>
      </c>
      <c r="AN936" s="4">
        <v>0</v>
      </c>
      <c r="AO936" s="4">
        <v>0</v>
      </c>
      <c r="AP936" s="3" t="s">
        <v>58</v>
      </c>
      <c r="AQ936" s="3" t="s">
        <v>132</v>
      </c>
      <c r="AR936" s="6" t="str">
        <f>HYPERLINK("http://catalog.hathitrust.org/Record/102582169","HathiTrust Record")</f>
        <v>HathiTrust Record</v>
      </c>
      <c r="AS936" s="6" t="str">
        <f>HYPERLINK("https://creighton-primo.hosted.exlibrisgroup.com/primo-explore/search?tab=default_tab&amp;search_scope=EVERYTHING&amp;vid=01CRU&amp;lang=en_US&amp;offset=0&amp;query=any,contains,991000177109702656","Catalog Record")</f>
        <v>Catalog Record</v>
      </c>
      <c r="AT936" s="6" t="str">
        <f>HYPERLINK("http://www.worldcat.org/oclc/9356416","WorldCat Record")</f>
        <v>WorldCat Record</v>
      </c>
      <c r="AU936" s="3" t="s">
        <v>11792</v>
      </c>
      <c r="AV936" s="3" t="s">
        <v>11793</v>
      </c>
      <c r="AW936" s="3" t="s">
        <v>11794</v>
      </c>
      <c r="AX936" s="3" t="s">
        <v>11794</v>
      </c>
      <c r="AY936" s="3" t="s">
        <v>11795</v>
      </c>
      <c r="AZ936" s="3" t="s">
        <v>75</v>
      </c>
      <c r="BB936" s="3" t="s">
        <v>11796</v>
      </c>
      <c r="BC936" s="3" t="s">
        <v>11797</v>
      </c>
      <c r="BD936" s="3" t="s">
        <v>11798</v>
      </c>
    </row>
    <row r="937" spans="1:56" ht="39" customHeight="1" x14ac:dyDescent="0.25">
      <c r="A937" s="7" t="s">
        <v>58</v>
      </c>
      <c r="B937" s="2" t="s">
        <v>11799</v>
      </c>
      <c r="C937" s="2" t="s">
        <v>11800</v>
      </c>
      <c r="D937" s="2" t="s">
        <v>11801</v>
      </c>
      <c r="F937" s="3" t="s">
        <v>58</v>
      </c>
      <c r="G937" s="3" t="s">
        <v>59</v>
      </c>
      <c r="H937" s="3" t="s">
        <v>58</v>
      </c>
      <c r="I937" s="3" t="s">
        <v>58</v>
      </c>
      <c r="J937" s="3" t="s">
        <v>60</v>
      </c>
      <c r="K937" s="2" t="s">
        <v>2677</v>
      </c>
      <c r="L937" s="2" t="s">
        <v>2317</v>
      </c>
      <c r="M937" s="3" t="s">
        <v>1621</v>
      </c>
      <c r="O937" s="3" t="s">
        <v>65</v>
      </c>
      <c r="P937" s="3" t="s">
        <v>304</v>
      </c>
      <c r="Q937" s="2" t="s">
        <v>11802</v>
      </c>
      <c r="R937" s="3" t="s">
        <v>68</v>
      </c>
      <c r="S937" s="4">
        <v>1</v>
      </c>
      <c r="T937" s="4">
        <v>1</v>
      </c>
      <c r="U937" s="5" t="s">
        <v>11803</v>
      </c>
      <c r="V937" s="5" t="s">
        <v>11803</v>
      </c>
      <c r="W937" s="5" t="s">
        <v>8416</v>
      </c>
      <c r="X937" s="5" t="s">
        <v>8416</v>
      </c>
      <c r="Y937" s="4">
        <v>92</v>
      </c>
      <c r="Z937" s="4">
        <v>81</v>
      </c>
      <c r="AA937" s="4">
        <v>81</v>
      </c>
      <c r="AB937" s="4">
        <v>2</v>
      </c>
      <c r="AC937" s="4">
        <v>2</v>
      </c>
      <c r="AD937" s="4">
        <v>11</v>
      </c>
      <c r="AE937" s="4">
        <v>11</v>
      </c>
      <c r="AF937" s="4">
        <v>3</v>
      </c>
      <c r="AG937" s="4">
        <v>3</v>
      </c>
      <c r="AH937" s="4">
        <v>2</v>
      </c>
      <c r="AI937" s="4">
        <v>2</v>
      </c>
      <c r="AJ937" s="4">
        <v>10</v>
      </c>
      <c r="AK937" s="4">
        <v>10</v>
      </c>
      <c r="AL937" s="4">
        <v>0</v>
      </c>
      <c r="AM937" s="4">
        <v>0</v>
      </c>
      <c r="AN937" s="4">
        <v>0</v>
      </c>
      <c r="AO937" s="4">
        <v>0</v>
      </c>
      <c r="AP937" s="3" t="s">
        <v>58</v>
      </c>
      <c r="AQ937" s="3" t="s">
        <v>58</v>
      </c>
      <c r="AS937" s="6" t="str">
        <f>HYPERLINK("https://creighton-primo.hosted.exlibrisgroup.com/primo-explore/search?tab=default_tab&amp;search_scope=EVERYTHING&amp;vid=01CRU&amp;lang=en_US&amp;offset=0&amp;query=any,contains,991003552069702656","Catalog Record")</f>
        <v>Catalog Record</v>
      </c>
      <c r="AT937" s="6" t="str">
        <f>HYPERLINK("http://www.worldcat.org/oclc/1120037","WorldCat Record")</f>
        <v>WorldCat Record</v>
      </c>
      <c r="AU937" s="3" t="s">
        <v>11804</v>
      </c>
      <c r="AV937" s="3" t="s">
        <v>11805</v>
      </c>
      <c r="AW937" s="3" t="s">
        <v>11806</v>
      </c>
      <c r="AX937" s="3" t="s">
        <v>11806</v>
      </c>
      <c r="AY937" s="3" t="s">
        <v>11807</v>
      </c>
      <c r="AZ937" s="3" t="s">
        <v>75</v>
      </c>
      <c r="BB937" s="3" t="s">
        <v>11808</v>
      </c>
      <c r="BC937" s="3" t="s">
        <v>11809</v>
      </c>
      <c r="BD937" s="3" t="s">
        <v>11810</v>
      </c>
    </row>
    <row r="938" spans="1:56" ht="39" customHeight="1" x14ac:dyDescent="0.25">
      <c r="A938" s="7" t="s">
        <v>58</v>
      </c>
      <c r="B938" s="2" t="s">
        <v>11811</v>
      </c>
      <c r="C938" s="2" t="s">
        <v>11812</v>
      </c>
      <c r="D938" s="2" t="s">
        <v>11813</v>
      </c>
      <c r="F938" s="3" t="s">
        <v>58</v>
      </c>
      <c r="G938" s="3" t="s">
        <v>59</v>
      </c>
      <c r="H938" s="3" t="s">
        <v>58</v>
      </c>
      <c r="I938" s="3" t="s">
        <v>58</v>
      </c>
      <c r="J938" s="3" t="s">
        <v>60</v>
      </c>
      <c r="K938" s="2" t="s">
        <v>11814</v>
      </c>
      <c r="L938" s="2" t="s">
        <v>2557</v>
      </c>
      <c r="M938" s="3" t="s">
        <v>631</v>
      </c>
      <c r="O938" s="3" t="s">
        <v>65</v>
      </c>
      <c r="P938" s="3" t="s">
        <v>186</v>
      </c>
      <c r="R938" s="3" t="s">
        <v>68</v>
      </c>
      <c r="S938" s="4">
        <v>2</v>
      </c>
      <c r="T938" s="4">
        <v>2</v>
      </c>
      <c r="U938" s="5" t="s">
        <v>11815</v>
      </c>
      <c r="V938" s="5" t="s">
        <v>11815</v>
      </c>
      <c r="W938" s="5" t="s">
        <v>8416</v>
      </c>
      <c r="X938" s="5" t="s">
        <v>8416</v>
      </c>
      <c r="Y938" s="4">
        <v>116</v>
      </c>
      <c r="Z938" s="4">
        <v>105</v>
      </c>
      <c r="AA938" s="4">
        <v>127</v>
      </c>
      <c r="AB938" s="4">
        <v>2</v>
      </c>
      <c r="AC938" s="4">
        <v>2</v>
      </c>
      <c r="AD938" s="4">
        <v>12</v>
      </c>
      <c r="AE938" s="4">
        <v>13</v>
      </c>
      <c r="AF938" s="4">
        <v>3</v>
      </c>
      <c r="AG938" s="4">
        <v>3</v>
      </c>
      <c r="AH938" s="4">
        <v>4</v>
      </c>
      <c r="AI938" s="4">
        <v>5</v>
      </c>
      <c r="AJ938" s="4">
        <v>9</v>
      </c>
      <c r="AK938" s="4">
        <v>9</v>
      </c>
      <c r="AL938" s="4">
        <v>0</v>
      </c>
      <c r="AM938" s="4">
        <v>0</v>
      </c>
      <c r="AN938" s="4">
        <v>0</v>
      </c>
      <c r="AO938" s="4">
        <v>0</v>
      </c>
      <c r="AP938" s="3" t="s">
        <v>58</v>
      </c>
      <c r="AQ938" s="3" t="s">
        <v>132</v>
      </c>
      <c r="AR938" s="6" t="str">
        <f>HYPERLINK("http://catalog.hathitrust.org/Record/007049181","HathiTrust Record")</f>
        <v>HathiTrust Record</v>
      </c>
      <c r="AS938" s="6" t="str">
        <f>HYPERLINK("https://creighton-primo.hosted.exlibrisgroup.com/primo-explore/search?tab=default_tab&amp;search_scope=EVERYTHING&amp;vid=01CRU&amp;lang=en_US&amp;offset=0&amp;query=any,contains,991004012219702656","Catalog Record")</f>
        <v>Catalog Record</v>
      </c>
      <c r="AT938" s="6" t="str">
        <f>HYPERLINK("http://www.worldcat.org/oclc/2093846","WorldCat Record")</f>
        <v>WorldCat Record</v>
      </c>
      <c r="AU938" s="3" t="s">
        <v>11816</v>
      </c>
      <c r="AV938" s="3" t="s">
        <v>11817</v>
      </c>
      <c r="AW938" s="3" t="s">
        <v>11818</v>
      </c>
      <c r="AX938" s="3" t="s">
        <v>11818</v>
      </c>
      <c r="AY938" s="3" t="s">
        <v>11819</v>
      </c>
      <c r="AZ938" s="3" t="s">
        <v>75</v>
      </c>
      <c r="BB938" s="3" t="s">
        <v>11820</v>
      </c>
      <c r="BC938" s="3" t="s">
        <v>11821</v>
      </c>
      <c r="BD938" s="3" t="s">
        <v>11822</v>
      </c>
    </row>
    <row r="939" spans="1:56" ht="39" customHeight="1" x14ac:dyDescent="0.25">
      <c r="A939" s="7" t="s">
        <v>58</v>
      </c>
      <c r="B939" s="2" t="s">
        <v>11823</v>
      </c>
      <c r="C939" s="2" t="s">
        <v>11824</v>
      </c>
      <c r="D939" s="2" t="s">
        <v>11825</v>
      </c>
      <c r="F939" s="3" t="s">
        <v>58</v>
      </c>
      <c r="G939" s="3" t="s">
        <v>59</v>
      </c>
      <c r="H939" s="3" t="s">
        <v>58</v>
      </c>
      <c r="I939" s="3" t="s">
        <v>58</v>
      </c>
      <c r="J939" s="3" t="s">
        <v>60</v>
      </c>
      <c r="K939" s="2" t="s">
        <v>11826</v>
      </c>
      <c r="L939" s="2" t="s">
        <v>11827</v>
      </c>
      <c r="M939" s="3" t="s">
        <v>3656</v>
      </c>
      <c r="O939" s="3" t="s">
        <v>65</v>
      </c>
      <c r="P939" s="3" t="s">
        <v>186</v>
      </c>
      <c r="R939" s="3" t="s">
        <v>68</v>
      </c>
      <c r="S939" s="4">
        <v>7</v>
      </c>
      <c r="T939" s="4">
        <v>7</v>
      </c>
      <c r="U939" s="5" t="s">
        <v>11828</v>
      </c>
      <c r="V939" s="5" t="s">
        <v>11828</v>
      </c>
      <c r="W939" s="5" t="s">
        <v>11829</v>
      </c>
      <c r="X939" s="5" t="s">
        <v>11829</v>
      </c>
      <c r="Y939" s="4">
        <v>79</v>
      </c>
      <c r="Z939" s="4">
        <v>71</v>
      </c>
      <c r="AA939" s="4">
        <v>77</v>
      </c>
      <c r="AB939" s="4">
        <v>1</v>
      </c>
      <c r="AC939" s="4">
        <v>1</v>
      </c>
      <c r="AD939" s="4">
        <v>7</v>
      </c>
      <c r="AE939" s="4">
        <v>7</v>
      </c>
      <c r="AF939" s="4">
        <v>2</v>
      </c>
      <c r="AG939" s="4">
        <v>2</v>
      </c>
      <c r="AH939" s="4">
        <v>2</v>
      </c>
      <c r="AI939" s="4">
        <v>2</v>
      </c>
      <c r="AJ939" s="4">
        <v>5</v>
      </c>
      <c r="AK939" s="4">
        <v>5</v>
      </c>
      <c r="AL939" s="4">
        <v>0</v>
      </c>
      <c r="AM939" s="4">
        <v>0</v>
      </c>
      <c r="AN939" s="4">
        <v>0</v>
      </c>
      <c r="AO939" s="4">
        <v>0</v>
      </c>
      <c r="AP939" s="3" t="s">
        <v>58</v>
      </c>
      <c r="AQ939" s="3" t="s">
        <v>58</v>
      </c>
      <c r="AS939" s="6" t="str">
        <f>HYPERLINK("https://creighton-primo.hosted.exlibrisgroup.com/primo-explore/search?tab=default_tab&amp;search_scope=EVERYTHING&amp;vid=01CRU&amp;lang=en_US&amp;offset=0&amp;query=any,contains,991002836019702656","Catalog Record")</f>
        <v>Catalog Record</v>
      </c>
      <c r="AT939" s="6" t="str">
        <f>HYPERLINK("http://www.worldcat.org/oclc/37353830","WorldCat Record")</f>
        <v>WorldCat Record</v>
      </c>
      <c r="AU939" s="3" t="s">
        <v>11830</v>
      </c>
      <c r="AV939" s="3" t="s">
        <v>11831</v>
      </c>
      <c r="AW939" s="3" t="s">
        <v>11832</v>
      </c>
      <c r="AX939" s="3" t="s">
        <v>11832</v>
      </c>
      <c r="AY939" s="3" t="s">
        <v>11833</v>
      </c>
      <c r="AZ939" s="3" t="s">
        <v>75</v>
      </c>
      <c r="BB939" s="3" t="s">
        <v>11834</v>
      </c>
      <c r="BC939" s="3" t="s">
        <v>11835</v>
      </c>
      <c r="BD939" s="3" t="s">
        <v>11836</v>
      </c>
    </row>
    <row r="940" spans="1:56" ht="39" customHeight="1" x14ac:dyDescent="0.25">
      <c r="A940" s="7" t="s">
        <v>58</v>
      </c>
      <c r="B940" s="2" t="s">
        <v>11837</v>
      </c>
      <c r="C940" s="2" t="s">
        <v>11838</v>
      </c>
      <c r="D940" s="2" t="s">
        <v>11839</v>
      </c>
      <c r="F940" s="3" t="s">
        <v>58</v>
      </c>
      <c r="G940" s="3" t="s">
        <v>59</v>
      </c>
      <c r="H940" s="3" t="s">
        <v>58</v>
      </c>
      <c r="I940" s="3" t="s">
        <v>58</v>
      </c>
      <c r="J940" s="3" t="s">
        <v>60</v>
      </c>
      <c r="K940" s="2" t="s">
        <v>11840</v>
      </c>
      <c r="L940" s="2" t="s">
        <v>11841</v>
      </c>
      <c r="M940" s="3" t="s">
        <v>682</v>
      </c>
      <c r="O940" s="3" t="s">
        <v>65</v>
      </c>
      <c r="P940" s="3" t="s">
        <v>492</v>
      </c>
      <c r="R940" s="3" t="s">
        <v>68</v>
      </c>
      <c r="S940" s="4">
        <v>4</v>
      </c>
      <c r="T940" s="4">
        <v>4</v>
      </c>
      <c r="U940" s="5" t="s">
        <v>11842</v>
      </c>
      <c r="V940" s="5" t="s">
        <v>11842</v>
      </c>
      <c r="W940" s="5" t="s">
        <v>8416</v>
      </c>
      <c r="X940" s="5" t="s">
        <v>8416</v>
      </c>
      <c r="Y940" s="4">
        <v>126</v>
      </c>
      <c r="Z940" s="4">
        <v>112</v>
      </c>
      <c r="AA940" s="4">
        <v>113</v>
      </c>
      <c r="AB940" s="4">
        <v>2</v>
      </c>
      <c r="AC940" s="4">
        <v>2</v>
      </c>
      <c r="AD940" s="4">
        <v>18</v>
      </c>
      <c r="AE940" s="4">
        <v>18</v>
      </c>
      <c r="AF940" s="4">
        <v>4</v>
      </c>
      <c r="AG940" s="4">
        <v>4</v>
      </c>
      <c r="AH940" s="4">
        <v>4</v>
      </c>
      <c r="AI940" s="4">
        <v>4</v>
      </c>
      <c r="AJ940" s="4">
        <v>16</v>
      </c>
      <c r="AK940" s="4">
        <v>16</v>
      </c>
      <c r="AL940" s="4">
        <v>0</v>
      </c>
      <c r="AM940" s="4">
        <v>0</v>
      </c>
      <c r="AN940" s="4">
        <v>0</v>
      </c>
      <c r="AO940" s="4">
        <v>0</v>
      </c>
      <c r="AP940" s="3" t="s">
        <v>58</v>
      </c>
      <c r="AQ940" s="3" t="s">
        <v>58</v>
      </c>
      <c r="AS940" s="6" t="str">
        <f>HYPERLINK("https://creighton-primo.hosted.exlibrisgroup.com/primo-explore/search?tab=default_tab&amp;search_scope=EVERYTHING&amp;vid=01CRU&amp;lang=en_US&amp;offset=0&amp;query=any,contains,991003886259702656","Catalog Record")</f>
        <v>Catalog Record</v>
      </c>
      <c r="AT940" s="6" t="str">
        <f>HYPERLINK("http://www.worldcat.org/oclc/1738032","WorldCat Record")</f>
        <v>WorldCat Record</v>
      </c>
      <c r="AU940" s="3" t="s">
        <v>11843</v>
      </c>
      <c r="AV940" s="3" t="s">
        <v>11844</v>
      </c>
      <c r="AW940" s="3" t="s">
        <v>11845</v>
      </c>
      <c r="AX940" s="3" t="s">
        <v>11845</v>
      </c>
      <c r="AY940" s="3" t="s">
        <v>11846</v>
      </c>
      <c r="AZ940" s="3" t="s">
        <v>75</v>
      </c>
      <c r="BC940" s="3" t="s">
        <v>11847</v>
      </c>
      <c r="BD940" s="3" t="s">
        <v>11848</v>
      </c>
    </row>
    <row r="941" spans="1:56" ht="39" customHeight="1" x14ac:dyDescent="0.25">
      <c r="A941" s="7" t="s">
        <v>58</v>
      </c>
      <c r="B941" s="2" t="s">
        <v>11849</v>
      </c>
      <c r="C941" s="2" t="s">
        <v>11850</v>
      </c>
      <c r="D941" s="2" t="s">
        <v>11851</v>
      </c>
      <c r="F941" s="3" t="s">
        <v>58</v>
      </c>
      <c r="G941" s="3" t="s">
        <v>59</v>
      </c>
      <c r="H941" s="3" t="s">
        <v>58</v>
      </c>
      <c r="I941" s="3" t="s">
        <v>58</v>
      </c>
      <c r="J941" s="3" t="s">
        <v>60</v>
      </c>
      <c r="K941" s="2" t="s">
        <v>11852</v>
      </c>
      <c r="L941" s="2" t="s">
        <v>8151</v>
      </c>
      <c r="M941" s="3" t="s">
        <v>185</v>
      </c>
      <c r="O941" s="3" t="s">
        <v>65</v>
      </c>
      <c r="P941" s="3" t="s">
        <v>967</v>
      </c>
      <c r="R941" s="3" t="s">
        <v>68</v>
      </c>
      <c r="S941" s="4">
        <v>2</v>
      </c>
      <c r="T941" s="4">
        <v>2</v>
      </c>
      <c r="U941" s="5" t="s">
        <v>11374</v>
      </c>
      <c r="V941" s="5" t="s">
        <v>11374</v>
      </c>
      <c r="W941" s="5" t="s">
        <v>188</v>
      </c>
      <c r="X941" s="5" t="s">
        <v>188</v>
      </c>
      <c r="Y941" s="4">
        <v>145</v>
      </c>
      <c r="Z941" s="4">
        <v>132</v>
      </c>
      <c r="AA941" s="4">
        <v>137</v>
      </c>
      <c r="AB941" s="4">
        <v>1</v>
      </c>
      <c r="AC941" s="4">
        <v>1</v>
      </c>
      <c r="AD941" s="4">
        <v>9</v>
      </c>
      <c r="AE941" s="4">
        <v>9</v>
      </c>
      <c r="AF941" s="4">
        <v>1</v>
      </c>
      <c r="AG941" s="4">
        <v>1</v>
      </c>
      <c r="AH941" s="4">
        <v>2</v>
      </c>
      <c r="AI941" s="4">
        <v>2</v>
      </c>
      <c r="AJ941" s="4">
        <v>7</v>
      </c>
      <c r="AK941" s="4">
        <v>7</v>
      </c>
      <c r="AL941" s="4">
        <v>0</v>
      </c>
      <c r="AM941" s="4">
        <v>0</v>
      </c>
      <c r="AN941" s="4">
        <v>0</v>
      </c>
      <c r="AO941" s="4">
        <v>0</v>
      </c>
      <c r="AP941" s="3" t="s">
        <v>58</v>
      </c>
      <c r="AQ941" s="3" t="s">
        <v>58</v>
      </c>
      <c r="AS941" s="6" t="str">
        <f>HYPERLINK("https://creighton-primo.hosted.exlibrisgroup.com/primo-explore/search?tab=default_tab&amp;search_scope=EVERYTHING&amp;vid=01CRU&amp;lang=en_US&amp;offset=0&amp;query=any,contains,991003576359702656","Catalog Record")</f>
        <v>Catalog Record</v>
      </c>
      <c r="AT941" s="6" t="str">
        <f>HYPERLINK("http://www.worldcat.org/oclc/43370491","WorldCat Record")</f>
        <v>WorldCat Record</v>
      </c>
      <c r="AU941" s="3" t="s">
        <v>11853</v>
      </c>
      <c r="AV941" s="3" t="s">
        <v>11854</v>
      </c>
      <c r="AW941" s="3" t="s">
        <v>11855</v>
      </c>
      <c r="AX941" s="3" t="s">
        <v>11855</v>
      </c>
      <c r="AY941" s="3" t="s">
        <v>11856</v>
      </c>
      <c r="AZ941" s="3" t="s">
        <v>75</v>
      </c>
      <c r="BB941" s="3" t="s">
        <v>11857</v>
      </c>
      <c r="BC941" s="3" t="s">
        <v>11858</v>
      </c>
      <c r="BD941" s="3" t="s">
        <v>11859</v>
      </c>
    </row>
    <row r="942" spans="1:56" ht="39" customHeight="1" x14ac:dyDescent="0.25">
      <c r="A942" s="7" t="s">
        <v>58</v>
      </c>
      <c r="B942" s="2" t="s">
        <v>11860</v>
      </c>
      <c r="C942" s="2" t="s">
        <v>11861</v>
      </c>
      <c r="D942" s="2" t="s">
        <v>11862</v>
      </c>
      <c r="F942" s="3" t="s">
        <v>58</v>
      </c>
      <c r="G942" s="3" t="s">
        <v>59</v>
      </c>
      <c r="H942" s="3" t="s">
        <v>58</v>
      </c>
      <c r="I942" s="3" t="s">
        <v>58</v>
      </c>
      <c r="J942" s="3" t="s">
        <v>60</v>
      </c>
      <c r="K942" s="2" t="s">
        <v>11863</v>
      </c>
      <c r="L942" s="2" t="s">
        <v>11864</v>
      </c>
      <c r="M942" s="3" t="s">
        <v>10683</v>
      </c>
      <c r="O942" s="3" t="s">
        <v>65</v>
      </c>
      <c r="P942" s="3" t="s">
        <v>954</v>
      </c>
      <c r="R942" s="3" t="s">
        <v>68</v>
      </c>
      <c r="S942" s="4">
        <v>2</v>
      </c>
      <c r="T942" s="4">
        <v>2</v>
      </c>
      <c r="U942" s="5" t="s">
        <v>11374</v>
      </c>
      <c r="V942" s="5" t="s">
        <v>11374</v>
      </c>
      <c r="W942" s="5" t="s">
        <v>11865</v>
      </c>
      <c r="X942" s="5" t="s">
        <v>11865</v>
      </c>
      <c r="Y942" s="4">
        <v>75</v>
      </c>
      <c r="Z942" s="4">
        <v>65</v>
      </c>
      <c r="AA942" s="4">
        <v>74</v>
      </c>
      <c r="AB942" s="4">
        <v>1</v>
      </c>
      <c r="AC942" s="4">
        <v>1</v>
      </c>
      <c r="AD942" s="4">
        <v>15</v>
      </c>
      <c r="AE942" s="4">
        <v>18</v>
      </c>
      <c r="AF942" s="4">
        <v>5</v>
      </c>
      <c r="AG942" s="4">
        <v>5</v>
      </c>
      <c r="AH942" s="4">
        <v>4</v>
      </c>
      <c r="AI942" s="4">
        <v>5</v>
      </c>
      <c r="AJ942" s="4">
        <v>12</v>
      </c>
      <c r="AK942" s="4">
        <v>15</v>
      </c>
      <c r="AL942" s="4">
        <v>0</v>
      </c>
      <c r="AM942" s="4">
        <v>0</v>
      </c>
      <c r="AN942" s="4">
        <v>0</v>
      </c>
      <c r="AO942" s="4">
        <v>0</v>
      </c>
      <c r="AP942" s="3" t="s">
        <v>58</v>
      </c>
      <c r="AQ942" s="3" t="s">
        <v>132</v>
      </c>
      <c r="AR942" s="6" t="str">
        <f>HYPERLINK("http://catalog.hathitrust.org/Record/005777437","HathiTrust Record")</f>
        <v>HathiTrust Record</v>
      </c>
      <c r="AS942" s="6" t="str">
        <f>HYPERLINK("https://creighton-primo.hosted.exlibrisgroup.com/primo-explore/search?tab=default_tab&amp;search_scope=EVERYTHING&amp;vid=01CRU&amp;lang=en_US&amp;offset=0&amp;query=any,contains,991003647959702656","Catalog Record")</f>
        <v>Catalog Record</v>
      </c>
      <c r="AT942" s="6" t="str">
        <f>HYPERLINK("http://www.worldcat.org/oclc/1250307","WorldCat Record")</f>
        <v>WorldCat Record</v>
      </c>
      <c r="AU942" s="3" t="s">
        <v>11866</v>
      </c>
      <c r="AV942" s="3" t="s">
        <v>11867</v>
      </c>
      <c r="AW942" s="3" t="s">
        <v>11868</v>
      </c>
      <c r="AX942" s="3" t="s">
        <v>11868</v>
      </c>
      <c r="AY942" s="3" t="s">
        <v>11869</v>
      </c>
      <c r="AZ942" s="3" t="s">
        <v>75</v>
      </c>
      <c r="BC942" s="3" t="s">
        <v>11870</v>
      </c>
      <c r="BD942" s="3" t="s">
        <v>11871</v>
      </c>
    </row>
    <row r="943" spans="1:56" ht="39" customHeight="1" x14ac:dyDescent="0.25">
      <c r="A943" s="7" t="s">
        <v>58</v>
      </c>
      <c r="B943" s="2" t="s">
        <v>11872</v>
      </c>
      <c r="C943" s="2" t="s">
        <v>11873</v>
      </c>
      <c r="D943" s="2" t="s">
        <v>11874</v>
      </c>
      <c r="F943" s="3" t="s">
        <v>58</v>
      </c>
      <c r="G943" s="3" t="s">
        <v>59</v>
      </c>
      <c r="H943" s="3" t="s">
        <v>58</v>
      </c>
      <c r="I943" s="3" t="s">
        <v>58</v>
      </c>
      <c r="J943" s="3" t="s">
        <v>60</v>
      </c>
      <c r="K943" s="2" t="s">
        <v>11875</v>
      </c>
      <c r="L943" s="2" t="s">
        <v>11876</v>
      </c>
      <c r="M943" s="3" t="s">
        <v>83</v>
      </c>
      <c r="N943" s="2" t="s">
        <v>7006</v>
      </c>
      <c r="O943" s="3" t="s">
        <v>65</v>
      </c>
      <c r="P943" s="3" t="s">
        <v>66</v>
      </c>
      <c r="Q943" s="2" t="s">
        <v>11877</v>
      </c>
      <c r="R943" s="3" t="s">
        <v>68</v>
      </c>
      <c r="S943" s="4">
        <v>2</v>
      </c>
      <c r="T943" s="4">
        <v>2</v>
      </c>
      <c r="U943" s="5" t="s">
        <v>11374</v>
      </c>
      <c r="V943" s="5" t="s">
        <v>11374</v>
      </c>
      <c r="W943" s="5" t="s">
        <v>8416</v>
      </c>
      <c r="X943" s="5" t="s">
        <v>8416</v>
      </c>
      <c r="Y943" s="4">
        <v>569</v>
      </c>
      <c r="Z943" s="4">
        <v>464</v>
      </c>
      <c r="AA943" s="4">
        <v>477</v>
      </c>
      <c r="AB943" s="4">
        <v>4</v>
      </c>
      <c r="AC943" s="4">
        <v>4</v>
      </c>
      <c r="AD943" s="4">
        <v>30</v>
      </c>
      <c r="AE943" s="4">
        <v>31</v>
      </c>
      <c r="AF943" s="4">
        <v>11</v>
      </c>
      <c r="AG943" s="4">
        <v>12</v>
      </c>
      <c r="AH943" s="4">
        <v>7</v>
      </c>
      <c r="AI943" s="4">
        <v>7</v>
      </c>
      <c r="AJ943" s="4">
        <v>17</v>
      </c>
      <c r="AK943" s="4">
        <v>18</v>
      </c>
      <c r="AL943" s="4">
        <v>3</v>
      </c>
      <c r="AM943" s="4">
        <v>3</v>
      </c>
      <c r="AN943" s="4">
        <v>0</v>
      </c>
      <c r="AO943" s="4">
        <v>0</v>
      </c>
      <c r="AP943" s="3" t="s">
        <v>58</v>
      </c>
      <c r="AQ943" s="3" t="s">
        <v>132</v>
      </c>
      <c r="AR943" s="6" t="str">
        <f>HYPERLINK("http://catalog.hathitrust.org/Record/001401106","HathiTrust Record")</f>
        <v>HathiTrust Record</v>
      </c>
      <c r="AS943" s="6" t="str">
        <f>HYPERLINK("https://creighton-primo.hosted.exlibrisgroup.com/primo-explore/search?tab=default_tab&amp;search_scope=EVERYTHING&amp;vid=01CRU&amp;lang=en_US&amp;offset=0&amp;query=any,contains,991001034939702656","Catalog Record")</f>
        <v>Catalog Record</v>
      </c>
      <c r="AT943" s="6" t="str">
        <f>HYPERLINK("http://www.worldcat.org/oclc/175604","WorldCat Record")</f>
        <v>WorldCat Record</v>
      </c>
      <c r="AU943" s="3" t="s">
        <v>11878</v>
      </c>
      <c r="AV943" s="3" t="s">
        <v>11879</v>
      </c>
      <c r="AW943" s="3" t="s">
        <v>11880</v>
      </c>
      <c r="AX943" s="3" t="s">
        <v>11880</v>
      </c>
      <c r="AY943" s="3" t="s">
        <v>11881</v>
      </c>
      <c r="AZ943" s="3" t="s">
        <v>75</v>
      </c>
      <c r="BC943" s="3" t="s">
        <v>11882</v>
      </c>
      <c r="BD943" s="3" t="s">
        <v>11883</v>
      </c>
    </row>
    <row r="944" spans="1:56" ht="39" customHeight="1" x14ac:dyDescent="0.25">
      <c r="A944" s="7" t="s">
        <v>58</v>
      </c>
      <c r="B944" s="2" t="s">
        <v>11884</v>
      </c>
      <c r="C944" s="2" t="s">
        <v>11885</v>
      </c>
      <c r="D944" s="2" t="s">
        <v>11886</v>
      </c>
      <c r="F944" s="3" t="s">
        <v>58</v>
      </c>
      <c r="G944" s="3" t="s">
        <v>59</v>
      </c>
      <c r="H944" s="3" t="s">
        <v>58</v>
      </c>
      <c r="I944" s="3" t="s">
        <v>58</v>
      </c>
      <c r="J944" s="3" t="s">
        <v>60</v>
      </c>
      <c r="K944" s="2" t="s">
        <v>11887</v>
      </c>
      <c r="L944" s="2" t="s">
        <v>10857</v>
      </c>
      <c r="M944" s="3" t="s">
        <v>966</v>
      </c>
      <c r="O944" s="3" t="s">
        <v>65</v>
      </c>
      <c r="P944" s="3" t="s">
        <v>186</v>
      </c>
      <c r="Q944" s="2" t="s">
        <v>10040</v>
      </c>
      <c r="R944" s="3" t="s">
        <v>68</v>
      </c>
      <c r="S944" s="4">
        <v>4</v>
      </c>
      <c r="T944" s="4">
        <v>4</v>
      </c>
      <c r="U944" s="5" t="s">
        <v>11888</v>
      </c>
      <c r="V944" s="5" t="s">
        <v>11888</v>
      </c>
      <c r="W944" s="5" t="s">
        <v>11889</v>
      </c>
      <c r="X944" s="5" t="s">
        <v>11889</v>
      </c>
      <c r="Y944" s="4">
        <v>556</v>
      </c>
      <c r="Z944" s="4">
        <v>488</v>
      </c>
      <c r="AA944" s="4">
        <v>490</v>
      </c>
      <c r="AB944" s="4">
        <v>9</v>
      </c>
      <c r="AC944" s="4">
        <v>9</v>
      </c>
      <c r="AD944" s="4">
        <v>44</v>
      </c>
      <c r="AE944" s="4">
        <v>44</v>
      </c>
      <c r="AF944" s="4">
        <v>18</v>
      </c>
      <c r="AG944" s="4">
        <v>18</v>
      </c>
      <c r="AH944" s="4">
        <v>9</v>
      </c>
      <c r="AI944" s="4">
        <v>9</v>
      </c>
      <c r="AJ944" s="4">
        <v>22</v>
      </c>
      <c r="AK944" s="4">
        <v>22</v>
      </c>
      <c r="AL944" s="4">
        <v>6</v>
      </c>
      <c r="AM944" s="4">
        <v>6</v>
      </c>
      <c r="AN944" s="4">
        <v>0</v>
      </c>
      <c r="AO944" s="4">
        <v>0</v>
      </c>
      <c r="AP944" s="3" t="s">
        <v>58</v>
      </c>
      <c r="AQ944" s="3" t="s">
        <v>132</v>
      </c>
      <c r="AR944" s="6" t="str">
        <f>HYPERLINK("http://catalog.hathitrust.org/Record/002654962","HathiTrust Record")</f>
        <v>HathiTrust Record</v>
      </c>
      <c r="AS944" s="6" t="str">
        <f>HYPERLINK("https://creighton-primo.hosted.exlibrisgroup.com/primo-explore/search?tab=default_tab&amp;search_scope=EVERYTHING&amp;vid=01CRU&amp;lang=en_US&amp;offset=0&amp;query=any,contains,991002130269702656","Catalog Record")</f>
        <v>Catalog Record</v>
      </c>
      <c r="AT944" s="6" t="str">
        <f>HYPERLINK("http://www.worldcat.org/oclc/27267028","WorldCat Record")</f>
        <v>WorldCat Record</v>
      </c>
      <c r="AU944" s="3" t="s">
        <v>11890</v>
      </c>
      <c r="AV944" s="3" t="s">
        <v>11891</v>
      </c>
      <c r="AW944" s="3" t="s">
        <v>11892</v>
      </c>
      <c r="AX944" s="3" t="s">
        <v>11892</v>
      </c>
      <c r="AY944" s="3" t="s">
        <v>11893</v>
      </c>
      <c r="AZ944" s="3" t="s">
        <v>75</v>
      </c>
      <c r="BB944" s="3" t="s">
        <v>11894</v>
      </c>
      <c r="BC944" s="3" t="s">
        <v>11895</v>
      </c>
      <c r="BD944" s="3" t="s">
        <v>11896</v>
      </c>
    </row>
    <row r="945" spans="1:56" ht="39" customHeight="1" x14ac:dyDescent="0.25">
      <c r="A945" s="7" t="s">
        <v>58</v>
      </c>
      <c r="B945" s="2" t="s">
        <v>11897</v>
      </c>
      <c r="C945" s="2" t="s">
        <v>11898</v>
      </c>
      <c r="D945" s="2" t="s">
        <v>11899</v>
      </c>
      <c r="F945" s="3" t="s">
        <v>58</v>
      </c>
      <c r="G945" s="3" t="s">
        <v>59</v>
      </c>
      <c r="H945" s="3" t="s">
        <v>58</v>
      </c>
      <c r="I945" s="3" t="s">
        <v>58</v>
      </c>
      <c r="J945" s="3" t="s">
        <v>60</v>
      </c>
      <c r="K945" s="2" t="s">
        <v>11900</v>
      </c>
      <c r="L945" s="2" t="s">
        <v>11901</v>
      </c>
      <c r="M945" s="3" t="s">
        <v>128</v>
      </c>
      <c r="O945" s="3" t="s">
        <v>65</v>
      </c>
      <c r="P945" s="3" t="s">
        <v>1246</v>
      </c>
      <c r="R945" s="3" t="s">
        <v>68</v>
      </c>
      <c r="S945" s="4">
        <v>9</v>
      </c>
      <c r="T945" s="4">
        <v>9</v>
      </c>
      <c r="U945" s="5" t="s">
        <v>11902</v>
      </c>
      <c r="V945" s="5" t="s">
        <v>11902</v>
      </c>
      <c r="W945" s="5" t="s">
        <v>8416</v>
      </c>
      <c r="X945" s="5" t="s">
        <v>8416</v>
      </c>
      <c r="Y945" s="4">
        <v>677</v>
      </c>
      <c r="Z945" s="4">
        <v>564</v>
      </c>
      <c r="AA945" s="4">
        <v>578</v>
      </c>
      <c r="AB945" s="4">
        <v>6</v>
      </c>
      <c r="AC945" s="4">
        <v>6</v>
      </c>
      <c r="AD945" s="4">
        <v>34</v>
      </c>
      <c r="AE945" s="4">
        <v>34</v>
      </c>
      <c r="AF945" s="4">
        <v>11</v>
      </c>
      <c r="AG945" s="4">
        <v>11</v>
      </c>
      <c r="AH945" s="4">
        <v>9</v>
      </c>
      <c r="AI945" s="4">
        <v>9</v>
      </c>
      <c r="AJ945" s="4">
        <v>19</v>
      </c>
      <c r="AK945" s="4">
        <v>19</v>
      </c>
      <c r="AL945" s="4">
        <v>4</v>
      </c>
      <c r="AM945" s="4">
        <v>4</v>
      </c>
      <c r="AN945" s="4">
        <v>0</v>
      </c>
      <c r="AO945" s="4">
        <v>0</v>
      </c>
      <c r="AP945" s="3" t="s">
        <v>58</v>
      </c>
      <c r="AQ945" s="3" t="s">
        <v>58</v>
      </c>
      <c r="AS945" s="6" t="str">
        <f>HYPERLINK("https://creighton-primo.hosted.exlibrisgroup.com/primo-explore/search?tab=default_tab&amp;search_scope=EVERYTHING&amp;vid=01CRU&amp;lang=en_US&amp;offset=0&amp;query=any,contains,991004270749702656","Catalog Record")</f>
        <v>Catalog Record</v>
      </c>
      <c r="AT945" s="6" t="str">
        <f>HYPERLINK("http://www.worldcat.org/oclc/2875685","WorldCat Record")</f>
        <v>WorldCat Record</v>
      </c>
      <c r="AU945" s="3" t="s">
        <v>11903</v>
      </c>
      <c r="AV945" s="3" t="s">
        <v>11904</v>
      </c>
      <c r="AW945" s="3" t="s">
        <v>11905</v>
      </c>
      <c r="AX945" s="3" t="s">
        <v>11905</v>
      </c>
      <c r="AY945" s="3" t="s">
        <v>11906</v>
      </c>
      <c r="AZ945" s="3" t="s">
        <v>75</v>
      </c>
      <c r="BB945" s="3" t="s">
        <v>11907</v>
      </c>
      <c r="BC945" s="3" t="s">
        <v>11908</v>
      </c>
      <c r="BD945" s="3" t="s">
        <v>11909</v>
      </c>
    </row>
    <row r="946" spans="1:56" ht="39" customHeight="1" x14ac:dyDescent="0.25">
      <c r="A946" s="7" t="s">
        <v>58</v>
      </c>
      <c r="B946" s="2" t="s">
        <v>11910</v>
      </c>
      <c r="C946" s="2" t="s">
        <v>11911</v>
      </c>
      <c r="D946" s="2" t="s">
        <v>11912</v>
      </c>
      <c r="F946" s="3" t="s">
        <v>58</v>
      </c>
      <c r="G946" s="3" t="s">
        <v>59</v>
      </c>
      <c r="H946" s="3" t="s">
        <v>58</v>
      </c>
      <c r="I946" s="3" t="s">
        <v>58</v>
      </c>
      <c r="J946" s="3" t="s">
        <v>60</v>
      </c>
      <c r="K946" s="2" t="s">
        <v>11913</v>
      </c>
      <c r="L946" s="2" t="s">
        <v>11914</v>
      </c>
      <c r="M946" s="3" t="s">
        <v>11915</v>
      </c>
      <c r="O946" s="3" t="s">
        <v>65</v>
      </c>
      <c r="P946" s="3" t="s">
        <v>492</v>
      </c>
      <c r="R946" s="3" t="s">
        <v>68</v>
      </c>
      <c r="S946" s="4">
        <v>1</v>
      </c>
      <c r="T946" s="4">
        <v>1</v>
      </c>
      <c r="U946" s="5" t="s">
        <v>11916</v>
      </c>
      <c r="V946" s="5" t="s">
        <v>11916</v>
      </c>
      <c r="W946" s="5" t="s">
        <v>8416</v>
      </c>
      <c r="X946" s="5" t="s">
        <v>8416</v>
      </c>
      <c r="Y946" s="4">
        <v>56</v>
      </c>
      <c r="Z946" s="4">
        <v>44</v>
      </c>
      <c r="AA946" s="4">
        <v>128</v>
      </c>
      <c r="AB946" s="4">
        <v>1</v>
      </c>
      <c r="AC946" s="4">
        <v>2</v>
      </c>
      <c r="AD946" s="4">
        <v>9</v>
      </c>
      <c r="AE946" s="4">
        <v>16</v>
      </c>
      <c r="AF946" s="4">
        <v>2</v>
      </c>
      <c r="AG946" s="4">
        <v>3</v>
      </c>
      <c r="AH946" s="4">
        <v>3</v>
      </c>
      <c r="AI946" s="4">
        <v>4</v>
      </c>
      <c r="AJ946" s="4">
        <v>7</v>
      </c>
      <c r="AK946" s="4">
        <v>12</v>
      </c>
      <c r="AL946" s="4">
        <v>0</v>
      </c>
      <c r="AM946" s="4">
        <v>1</v>
      </c>
      <c r="AN946" s="4">
        <v>0</v>
      </c>
      <c r="AO946" s="4">
        <v>0</v>
      </c>
      <c r="AP946" s="3" t="s">
        <v>132</v>
      </c>
      <c r="AQ946" s="3" t="s">
        <v>58</v>
      </c>
      <c r="AR946" s="6" t="str">
        <f>HYPERLINK("http://catalog.hathitrust.org/Record/001914205","HathiTrust Record")</f>
        <v>HathiTrust Record</v>
      </c>
      <c r="AS946" s="6" t="str">
        <f>HYPERLINK("https://creighton-primo.hosted.exlibrisgroup.com/primo-explore/search?tab=default_tab&amp;search_scope=EVERYTHING&amp;vid=01CRU&amp;lang=en_US&amp;offset=0&amp;query=any,contains,991004148549702656","Catalog Record")</f>
        <v>Catalog Record</v>
      </c>
      <c r="AT946" s="6" t="str">
        <f>HYPERLINK("http://www.worldcat.org/oclc/2519236","WorldCat Record")</f>
        <v>WorldCat Record</v>
      </c>
      <c r="AU946" s="3" t="s">
        <v>11917</v>
      </c>
      <c r="AV946" s="3" t="s">
        <v>11918</v>
      </c>
      <c r="AW946" s="3" t="s">
        <v>11919</v>
      </c>
      <c r="AX946" s="3" t="s">
        <v>11919</v>
      </c>
      <c r="AY946" s="3" t="s">
        <v>11920</v>
      </c>
      <c r="AZ946" s="3" t="s">
        <v>75</v>
      </c>
      <c r="BC946" s="3" t="s">
        <v>11921</v>
      </c>
      <c r="BD946" s="3" t="s">
        <v>11922</v>
      </c>
    </row>
    <row r="947" spans="1:56" ht="39" customHeight="1" x14ac:dyDescent="0.25">
      <c r="A947" s="7" t="s">
        <v>58</v>
      </c>
      <c r="B947" s="2" t="s">
        <v>11923</v>
      </c>
      <c r="C947" s="2" t="s">
        <v>11924</v>
      </c>
      <c r="D947" s="2" t="s">
        <v>11925</v>
      </c>
      <c r="F947" s="3" t="s">
        <v>58</v>
      </c>
      <c r="G947" s="3" t="s">
        <v>59</v>
      </c>
      <c r="H947" s="3" t="s">
        <v>58</v>
      </c>
      <c r="I947" s="3" t="s">
        <v>58</v>
      </c>
      <c r="J947" s="3" t="s">
        <v>60</v>
      </c>
      <c r="K947" s="2" t="s">
        <v>61</v>
      </c>
      <c r="L947" s="2" t="s">
        <v>11926</v>
      </c>
      <c r="M947" s="3" t="s">
        <v>5011</v>
      </c>
      <c r="O947" s="3" t="s">
        <v>65</v>
      </c>
      <c r="P947" s="3" t="s">
        <v>954</v>
      </c>
      <c r="Q947" s="2" t="s">
        <v>11927</v>
      </c>
      <c r="R947" s="3" t="s">
        <v>68</v>
      </c>
      <c r="S947" s="4">
        <v>1</v>
      </c>
      <c r="T947" s="4">
        <v>1</v>
      </c>
      <c r="U947" s="5" t="s">
        <v>11928</v>
      </c>
      <c r="V947" s="5" t="s">
        <v>11928</v>
      </c>
      <c r="W947" s="5" t="s">
        <v>8416</v>
      </c>
      <c r="X947" s="5" t="s">
        <v>8416</v>
      </c>
      <c r="Y947" s="4">
        <v>139</v>
      </c>
      <c r="Z947" s="4">
        <v>114</v>
      </c>
      <c r="AA947" s="4">
        <v>221</v>
      </c>
      <c r="AB947" s="4">
        <v>1</v>
      </c>
      <c r="AC947" s="4">
        <v>2</v>
      </c>
      <c r="AD947" s="4">
        <v>9</v>
      </c>
      <c r="AE947" s="4">
        <v>14</v>
      </c>
      <c r="AF947" s="4">
        <v>1</v>
      </c>
      <c r="AG947" s="4">
        <v>3</v>
      </c>
      <c r="AH947" s="4">
        <v>3</v>
      </c>
      <c r="AI947" s="4">
        <v>4</v>
      </c>
      <c r="AJ947" s="4">
        <v>6</v>
      </c>
      <c r="AK947" s="4">
        <v>8</v>
      </c>
      <c r="AL947" s="4">
        <v>0</v>
      </c>
      <c r="AM947" s="4">
        <v>1</v>
      </c>
      <c r="AN947" s="4">
        <v>0</v>
      </c>
      <c r="AO947" s="4">
        <v>0</v>
      </c>
      <c r="AP947" s="3" t="s">
        <v>132</v>
      </c>
      <c r="AQ947" s="3" t="s">
        <v>58</v>
      </c>
      <c r="AR947" s="6" t="str">
        <f>HYPERLINK("http://catalog.hathitrust.org/Record/001914207","HathiTrust Record")</f>
        <v>HathiTrust Record</v>
      </c>
      <c r="AS947" s="6" t="str">
        <f>HYPERLINK("https://creighton-primo.hosted.exlibrisgroup.com/primo-explore/search?tab=default_tab&amp;search_scope=EVERYTHING&amp;vid=01CRU&amp;lang=en_US&amp;offset=0&amp;query=any,contains,991003618689702656","Catalog Record")</f>
        <v>Catalog Record</v>
      </c>
      <c r="AT947" s="6" t="str">
        <f>HYPERLINK("http://www.worldcat.org/oclc/1205495","WorldCat Record")</f>
        <v>WorldCat Record</v>
      </c>
      <c r="AU947" s="3" t="s">
        <v>11929</v>
      </c>
      <c r="AV947" s="3" t="s">
        <v>11930</v>
      </c>
      <c r="AW947" s="3" t="s">
        <v>11931</v>
      </c>
      <c r="AX947" s="3" t="s">
        <v>11931</v>
      </c>
      <c r="AY947" s="3" t="s">
        <v>11932</v>
      </c>
      <c r="AZ947" s="3" t="s">
        <v>75</v>
      </c>
      <c r="BC947" s="3" t="s">
        <v>11933</v>
      </c>
      <c r="BD947" s="3" t="s">
        <v>11934</v>
      </c>
    </row>
    <row r="948" spans="1:56" ht="39" customHeight="1" x14ac:dyDescent="0.25">
      <c r="A948" s="7" t="s">
        <v>58</v>
      </c>
      <c r="B948" s="2" t="s">
        <v>11935</v>
      </c>
      <c r="C948" s="2" t="s">
        <v>11936</v>
      </c>
      <c r="D948" s="2" t="s">
        <v>11937</v>
      </c>
      <c r="F948" s="3" t="s">
        <v>58</v>
      </c>
      <c r="G948" s="3" t="s">
        <v>59</v>
      </c>
      <c r="H948" s="3" t="s">
        <v>58</v>
      </c>
      <c r="I948" s="3" t="s">
        <v>58</v>
      </c>
      <c r="J948" s="3" t="s">
        <v>60</v>
      </c>
      <c r="K948" s="2" t="s">
        <v>11938</v>
      </c>
      <c r="L948" s="2" t="s">
        <v>11939</v>
      </c>
      <c r="M948" s="3" t="s">
        <v>1289</v>
      </c>
      <c r="O948" s="3" t="s">
        <v>65</v>
      </c>
      <c r="P948" s="3" t="s">
        <v>304</v>
      </c>
      <c r="Q948" s="2" t="s">
        <v>11940</v>
      </c>
      <c r="R948" s="3" t="s">
        <v>68</v>
      </c>
      <c r="S948" s="4">
        <v>2</v>
      </c>
      <c r="T948" s="4">
        <v>2</v>
      </c>
      <c r="U948" s="5" t="s">
        <v>7942</v>
      </c>
      <c r="V948" s="5" t="s">
        <v>7942</v>
      </c>
      <c r="W948" s="5" t="s">
        <v>11941</v>
      </c>
      <c r="X948" s="5" t="s">
        <v>11941</v>
      </c>
      <c r="Y948" s="4">
        <v>277</v>
      </c>
      <c r="Z948" s="4">
        <v>227</v>
      </c>
      <c r="AA948" s="4">
        <v>231</v>
      </c>
      <c r="AB948" s="4">
        <v>2</v>
      </c>
      <c r="AC948" s="4">
        <v>2</v>
      </c>
      <c r="AD948" s="4">
        <v>23</v>
      </c>
      <c r="AE948" s="4">
        <v>23</v>
      </c>
      <c r="AF948" s="4">
        <v>9</v>
      </c>
      <c r="AG948" s="4">
        <v>9</v>
      </c>
      <c r="AH948" s="4">
        <v>6</v>
      </c>
      <c r="AI948" s="4">
        <v>6</v>
      </c>
      <c r="AJ948" s="4">
        <v>16</v>
      </c>
      <c r="AK948" s="4">
        <v>16</v>
      </c>
      <c r="AL948" s="4">
        <v>1</v>
      </c>
      <c r="AM948" s="4">
        <v>1</v>
      </c>
      <c r="AN948" s="4">
        <v>0</v>
      </c>
      <c r="AO948" s="4">
        <v>0</v>
      </c>
      <c r="AP948" s="3" t="s">
        <v>58</v>
      </c>
      <c r="AQ948" s="3" t="s">
        <v>132</v>
      </c>
      <c r="AR948" s="6" t="str">
        <f>HYPERLINK("http://catalog.hathitrust.org/Record/004320444","HathiTrust Record")</f>
        <v>HathiTrust Record</v>
      </c>
      <c r="AS948" s="6" t="str">
        <f>HYPERLINK("https://creighton-primo.hosted.exlibrisgroup.com/primo-explore/search?tab=default_tab&amp;search_scope=EVERYTHING&amp;vid=01CRU&amp;lang=en_US&amp;offset=0&amp;query=any,contains,991004432049702656","Catalog Record")</f>
        <v>Catalog Record</v>
      </c>
      <c r="AT948" s="6" t="str">
        <f>HYPERLINK("http://www.worldcat.org/oclc/50774320","WorldCat Record")</f>
        <v>WorldCat Record</v>
      </c>
      <c r="AU948" s="3" t="s">
        <v>11942</v>
      </c>
      <c r="AV948" s="3" t="s">
        <v>11943</v>
      </c>
      <c r="AW948" s="3" t="s">
        <v>11944</v>
      </c>
      <c r="AX948" s="3" t="s">
        <v>11944</v>
      </c>
      <c r="AY948" s="3" t="s">
        <v>11945</v>
      </c>
      <c r="AZ948" s="3" t="s">
        <v>75</v>
      </c>
      <c r="BB948" s="3" t="s">
        <v>11946</v>
      </c>
      <c r="BC948" s="3" t="s">
        <v>11947</v>
      </c>
      <c r="BD948" s="3" t="s">
        <v>11948</v>
      </c>
    </row>
    <row r="949" spans="1:56" ht="39" customHeight="1" x14ac:dyDescent="0.25">
      <c r="A949" s="7" t="s">
        <v>58</v>
      </c>
      <c r="B949" s="2" t="s">
        <v>11949</v>
      </c>
      <c r="C949" s="2" t="s">
        <v>11950</v>
      </c>
      <c r="D949" s="2" t="s">
        <v>11951</v>
      </c>
      <c r="F949" s="3" t="s">
        <v>58</v>
      </c>
      <c r="G949" s="3" t="s">
        <v>59</v>
      </c>
      <c r="H949" s="3" t="s">
        <v>58</v>
      </c>
      <c r="I949" s="3" t="s">
        <v>58</v>
      </c>
      <c r="J949" s="3" t="s">
        <v>60</v>
      </c>
      <c r="K949" s="2" t="s">
        <v>11952</v>
      </c>
      <c r="L949" s="2" t="s">
        <v>11953</v>
      </c>
      <c r="M949" s="3" t="s">
        <v>273</v>
      </c>
      <c r="O949" s="3" t="s">
        <v>65</v>
      </c>
      <c r="P949" s="3" t="s">
        <v>201</v>
      </c>
      <c r="Q949" s="2" t="s">
        <v>11954</v>
      </c>
      <c r="R949" s="3" t="s">
        <v>68</v>
      </c>
      <c r="S949" s="4">
        <v>3</v>
      </c>
      <c r="T949" s="4">
        <v>3</v>
      </c>
      <c r="U949" s="5" t="s">
        <v>11955</v>
      </c>
      <c r="V949" s="5" t="s">
        <v>11955</v>
      </c>
      <c r="W949" s="5" t="s">
        <v>10985</v>
      </c>
      <c r="X949" s="5" t="s">
        <v>10985</v>
      </c>
      <c r="Y949" s="4">
        <v>155</v>
      </c>
      <c r="Z949" s="4">
        <v>129</v>
      </c>
      <c r="AA949" s="4">
        <v>129</v>
      </c>
      <c r="AB949" s="4">
        <v>2</v>
      </c>
      <c r="AC949" s="4">
        <v>2</v>
      </c>
      <c r="AD949" s="4">
        <v>11</v>
      </c>
      <c r="AE949" s="4">
        <v>11</v>
      </c>
      <c r="AF949" s="4">
        <v>2</v>
      </c>
      <c r="AG949" s="4">
        <v>2</v>
      </c>
      <c r="AH949" s="4">
        <v>3</v>
      </c>
      <c r="AI949" s="4">
        <v>3</v>
      </c>
      <c r="AJ949" s="4">
        <v>6</v>
      </c>
      <c r="AK949" s="4">
        <v>6</v>
      </c>
      <c r="AL949" s="4">
        <v>0</v>
      </c>
      <c r="AM949" s="4">
        <v>0</v>
      </c>
      <c r="AN949" s="4">
        <v>0</v>
      </c>
      <c r="AO949" s="4">
        <v>0</v>
      </c>
      <c r="AP949" s="3" t="s">
        <v>58</v>
      </c>
      <c r="AQ949" s="3" t="s">
        <v>58</v>
      </c>
      <c r="AS949" s="6" t="str">
        <f>HYPERLINK("https://creighton-primo.hosted.exlibrisgroup.com/primo-explore/search?tab=default_tab&amp;search_scope=EVERYTHING&amp;vid=01CRU&amp;lang=en_US&amp;offset=0&amp;query=any,contains,991002286659702656","Catalog Record")</f>
        <v>Catalog Record</v>
      </c>
      <c r="AT949" s="6" t="str">
        <f>HYPERLINK("http://www.worldcat.org/oclc/29638264","WorldCat Record")</f>
        <v>WorldCat Record</v>
      </c>
      <c r="AU949" s="3" t="s">
        <v>11956</v>
      </c>
      <c r="AV949" s="3" t="s">
        <v>11957</v>
      </c>
      <c r="AW949" s="3" t="s">
        <v>11958</v>
      </c>
      <c r="AX949" s="3" t="s">
        <v>11958</v>
      </c>
      <c r="AY949" s="3" t="s">
        <v>11959</v>
      </c>
      <c r="AZ949" s="3" t="s">
        <v>75</v>
      </c>
      <c r="BB949" s="3" t="s">
        <v>11960</v>
      </c>
      <c r="BC949" s="3" t="s">
        <v>11961</v>
      </c>
      <c r="BD949" s="3" t="s">
        <v>11962</v>
      </c>
    </row>
    <row r="950" spans="1:56" ht="39" customHeight="1" x14ac:dyDescent="0.25">
      <c r="A950" s="7" t="s">
        <v>58</v>
      </c>
      <c r="B950" s="2" t="s">
        <v>11963</v>
      </c>
      <c r="C950" s="2" t="s">
        <v>11964</v>
      </c>
      <c r="D950" s="2" t="s">
        <v>11965</v>
      </c>
      <c r="F950" s="3" t="s">
        <v>58</v>
      </c>
      <c r="G950" s="3" t="s">
        <v>59</v>
      </c>
      <c r="H950" s="3" t="s">
        <v>58</v>
      </c>
      <c r="I950" s="3" t="s">
        <v>58</v>
      </c>
      <c r="J950" s="3" t="s">
        <v>60</v>
      </c>
      <c r="K950" s="2" t="s">
        <v>11966</v>
      </c>
      <c r="L950" s="2" t="s">
        <v>11967</v>
      </c>
      <c r="M950" s="3" t="s">
        <v>4281</v>
      </c>
      <c r="O950" s="3" t="s">
        <v>65</v>
      </c>
      <c r="P950" s="3" t="s">
        <v>84</v>
      </c>
      <c r="Q950" s="2" t="s">
        <v>11968</v>
      </c>
      <c r="R950" s="3" t="s">
        <v>68</v>
      </c>
      <c r="S950" s="4">
        <v>4</v>
      </c>
      <c r="T950" s="4">
        <v>4</v>
      </c>
      <c r="U950" s="5" t="s">
        <v>11969</v>
      </c>
      <c r="V950" s="5" t="s">
        <v>11969</v>
      </c>
      <c r="W950" s="5" t="s">
        <v>11970</v>
      </c>
      <c r="X950" s="5" t="s">
        <v>11970</v>
      </c>
      <c r="Y950" s="4">
        <v>309</v>
      </c>
      <c r="Z950" s="4">
        <v>234</v>
      </c>
      <c r="AA950" s="4">
        <v>700</v>
      </c>
      <c r="AB950" s="4">
        <v>2</v>
      </c>
      <c r="AC950" s="4">
        <v>6</v>
      </c>
      <c r="AD950" s="4">
        <v>13</v>
      </c>
      <c r="AE950" s="4">
        <v>34</v>
      </c>
      <c r="AF950" s="4">
        <v>4</v>
      </c>
      <c r="AG950" s="4">
        <v>13</v>
      </c>
      <c r="AH950" s="4">
        <v>5</v>
      </c>
      <c r="AI950" s="4">
        <v>8</v>
      </c>
      <c r="AJ950" s="4">
        <v>8</v>
      </c>
      <c r="AK950" s="4">
        <v>15</v>
      </c>
      <c r="AL950" s="4">
        <v>1</v>
      </c>
      <c r="AM950" s="4">
        <v>5</v>
      </c>
      <c r="AN950" s="4">
        <v>0</v>
      </c>
      <c r="AO950" s="4">
        <v>1</v>
      </c>
      <c r="AP950" s="3" t="s">
        <v>58</v>
      </c>
      <c r="AQ950" s="3" t="s">
        <v>58</v>
      </c>
      <c r="AS950" s="6" t="str">
        <f>HYPERLINK("https://creighton-primo.hosted.exlibrisgroup.com/primo-explore/search?tab=default_tab&amp;search_scope=EVERYTHING&amp;vid=01CRU&amp;lang=en_US&amp;offset=0&amp;query=any,contains,991004737619702656","Catalog Record")</f>
        <v>Catalog Record</v>
      </c>
      <c r="AT950" s="6" t="str">
        <f>HYPERLINK("http://www.worldcat.org/oclc/54692675","WorldCat Record")</f>
        <v>WorldCat Record</v>
      </c>
      <c r="AU950" s="3" t="s">
        <v>11971</v>
      </c>
      <c r="AV950" s="3" t="s">
        <v>11972</v>
      </c>
      <c r="AW950" s="3" t="s">
        <v>11973</v>
      </c>
      <c r="AX950" s="3" t="s">
        <v>11973</v>
      </c>
      <c r="AY950" s="3" t="s">
        <v>11974</v>
      </c>
      <c r="AZ950" s="3" t="s">
        <v>75</v>
      </c>
      <c r="BB950" s="3" t="s">
        <v>11975</v>
      </c>
      <c r="BC950" s="3" t="s">
        <v>11976</v>
      </c>
      <c r="BD950" s="3" t="s">
        <v>11977</v>
      </c>
    </row>
    <row r="951" spans="1:56" ht="39" customHeight="1" x14ac:dyDescent="0.25">
      <c r="A951" s="7" t="s">
        <v>58</v>
      </c>
      <c r="B951" s="2" t="s">
        <v>11978</v>
      </c>
      <c r="C951" s="2" t="s">
        <v>11979</v>
      </c>
      <c r="D951" s="2" t="s">
        <v>11980</v>
      </c>
      <c r="F951" s="3" t="s">
        <v>58</v>
      </c>
      <c r="G951" s="3" t="s">
        <v>59</v>
      </c>
      <c r="H951" s="3" t="s">
        <v>58</v>
      </c>
      <c r="I951" s="3" t="s">
        <v>58</v>
      </c>
      <c r="J951" s="3" t="s">
        <v>60</v>
      </c>
      <c r="K951" s="2" t="s">
        <v>11981</v>
      </c>
      <c r="L951" s="2" t="s">
        <v>11982</v>
      </c>
      <c r="M951" s="3" t="s">
        <v>303</v>
      </c>
      <c r="O951" s="3" t="s">
        <v>65</v>
      </c>
      <c r="P951" s="3" t="s">
        <v>158</v>
      </c>
      <c r="R951" s="3" t="s">
        <v>68</v>
      </c>
      <c r="S951" s="4">
        <v>2</v>
      </c>
      <c r="T951" s="4">
        <v>2</v>
      </c>
      <c r="U951" s="5" t="s">
        <v>6931</v>
      </c>
      <c r="V951" s="5" t="s">
        <v>6931</v>
      </c>
      <c r="W951" s="5" t="s">
        <v>8416</v>
      </c>
      <c r="X951" s="5" t="s">
        <v>8416</v>
      </c>
      <c r="Y951" s="4">
        <v>515</v>
      </c>
      <c r="Z951" s="4">
        <v>485</v>
      </c>
      <c r="AA951" s="4">
        <v>550</v>
      </c>
      <c r="AB951" s="4">
        <v>3</v>
      </c>
      <c r="AC951" s="4">
        <v>5</v>
      </c>
      <c r="AD951" s="4">
        <v>23</v>
      </c>
      <c r="AE951" s="4">
        <v>28</v>
      </c>
      <c r="AF951" s="4">
        <v>7</v>
      </c>
      <c r="AG951" s="4">
        <v>8</v>
      </c>
      <c r="AH951" s="4">
        <v>8</v>
      </c>
      <c r="AI951" s="4">
        <v>8</v>
      </c>
      <c r="AJ951" s="4">
        <v>12</v>
      </c>
      <c r="AK951" s="4">
        <v>14</v>
      </c>
      <c r="AL951" s="4">
        <v>2</v>
      </c>
      <c r="AM951" s="4">
        <v>4</v>
      </c>
      <c r="AN951" s="4">
        <v>0</v>
      </c>
      <c r="AO951" s="4">
        <v>0</v>
      </c>
      <c r="AP951" s="3" t="s">
        <v>58</v>
      </c>
      <c r="AQ951" s="3" t="s">
        <v>132</v>
      </c>
      <c r="AR951" s="6" t="str">
        <f>HYPERLINK("http://catalog.hathitrust.org/Record/000703368","HathiTrust Record")</f>
        <v>HathiTrust Record</v>
      </c>
      <c r="AS951" s="6" t="str">
        <f>HYPERLINK("https://creighton-primo.hosted.exlibrisgroup.com/primo-explore/search?tab=default_tab&amp;search_scope=EVERYTHING&amp;vid=01CRU&amp;lang=en_US&amp;offset=0&amp;query=any,contains,991003899219702656","Catalog Record")</f>
        <v>Catalog Record</v>
      </c>
      <c r="AT951" s="6" t="str">
        <f>HYPERLINK("http://www.worldcat.org/oclc/1818363","WorldCat Record")</f>
        <v>WorldCat Record</v>
      </c>
      <c r="AU951" s="3" t="s">
        <v>11983</v>
      </c>
      <c r="AV951" s="3" t="s">
        <v>11984</v>
      </c>
      <c r="AW951" s="3" t="s">
        <v>11985</v>
      </c>
      <c r="AX951" s="3" t="s">
        <v>11985</v>
      </c>
      <c r="AY951" s="3" t="s">
        <v>11986</v>
      </c>
      <c r="AZ951" s="3" t="s">
        <v>75</v>
      </c>
      <c r="BB951" s="3" t="s">
        <v>11987</v>
      </c>
      <c r="BC951" s="3" t="s">
        <v>11988</v>
      </c>
      <c r="BD951" s="3" t="s">
        <v>11989</v>
      </c>
    </row>
    <row r="952" spans="1:56" ht="39" customHeight="1" x14ac:dyDescent="0.25">
      <c r="A952" s="7" t="s">
        <v>58</v>
      </c>
      <c r="B952" s="2" t="s">
        <v>11990</v>
      </c>
      <c r="C952" s="2" t="s">
        <v>11991</v>
      </c>
      <c r="D952" s="2" t="s">
        <v>11992</v>
      </c>
      <c r="F952" s="3" t="s">
        <v>58</v>
      </c>
      <c r="G952" s="3" t="s">
        <v>59</v>
      </c>
      <c r="H952" s="3" t="s">
        <v>58</v>
      </c>
      <c r="I952" s="3" t="s">
        <v>58</v>
      </c>
      <c r="J952" s="3" t="s">
        <v>60</v>
      </c>
      <c r="K952" s="2" t="s">
        <v>11993</v>
      </c>
      <c r="L952" s="2" t="s">
        <v>11994</v>
      </c>
      <c r="M952" s="3" t="s">
        <v>128</v>
      </c>
      <c r="O952" s="3" t="s">
        <v>65</v>
      </c>
      <c r="P952" s="3" t="s">
        <v>129</v>
      </c>
      <c r="Q952" s="2" t="s">
        <v>11995</v>
      </c>
      <c r="R952" s="3" t="s">
        <v>68</v>
      </c>
      <c r="S952" s="4">
        <v>5</v>
      </c>
      <c r="T952" s="4">
        <v>5</v>
      </c>
      <c r="U952" s="5" t="s">
        <v>11996</v>
      </c>
      <c r="V952" s="5" t="s">
        <v>11996</v>
      </c>
      <c r="W952" s="5" t="s">
        <v>131</v>
      </c>
      <c r="X952" s="5" t="s">
        <v>131</v>
      </c>
      <c r="Y952" s="4">
        <v>102</v>
      </c>
      <c r="Z952" s="4">
        <v>69</v>
      </c>
      <c r="AA952" s="4">
        <v>69</v>
      </c>
      <c r="AB952" s="4">
        <v>1</v>
      </c>
      <c r="AC952" s="4">
        <v>1</v>
      </c>
      <c r="AD952" s="4">
        <v>7</v>
      </c>
      <c r="AE952" s="4">
        <v>7</v>
      </c>
      <c r="AF952" s="4">
        <v>0</v>
      </c>
      <c r="AG952" s="4">
        <v>0</v>
      </c>
      <c r="AH952" s="4">
        <v>3</v>
      </c>
      <c r="AI952" s="4">
        <v>3</v>
      </c>
      <c r="AJ952" s="4">
        <v>5</v>
      </c>
      <c r="AK952" s="4">
        <v>5</v>
      </c>
      <c r="AL952" s="4">
        <v>0</v>
      </c>
      <c r="AM952" s="4">
        <v>0</v>
      </c>
      <c r="AN952" s="4">
        <v>0</v>
      </c>
      <c r="AO952" s="4">
        <v>0</v>
      </c>
      <c r="AP952" s="3" t="s">
        <v>58</v>
      </c>
      <c r="AQ952" s="3" t="s">
        <v>58</v>
      </c>
      <c r="AS952" s="6" t="str">
        <f>HYPERLINK("https://creighton-primo.hosted.exlibrisgroup.com/primo-explore/search?tab=default_tab&amp;search_scope=EVERYTHING&amp;vid=01CRU&amp;lang=en_US&amp;offset=0&amp;query=any,contains,991004608019702656","Catalog Record")</f>
        <v>Catalog Record</v>
      </c>
      <c r="AT952" s="6" t="str">
        <f>HYPERLINK("http://www.worldcat.org/oclc/4196792","WorldCat Record")</f>
        <v>WorldCat Record</v>
      </c>
      <c r="AU952" s="3" t="s">
        <v>11997</v>
      </c>
      <c r="AV952" s="3" t="s">
        <v>11998</v>
      </c>
      <c r="AW952" s="3" t="s">
        <v>11999</v>
      </c>
      <c r="AX952" s="3" t="s">
        <v>11999</v>
      </c>
      <c r="AY952" s="3" t="s">
        <v>12000</v>
      </c>
      <c r="AZ952" s="3" t="s">
        <v>75</v>
      </c>
      <c r="BC952" s="3" t="s">
        <v>12001</v>
      </c>
      <c r="BD952" s="3" t="s">
        <v>12002</v>
      </c>
    </row>
    <row r="953" spans="1:56" ht="39" customHeight="1" x14ac:dyDescent="0.25">
      <c r="A953" s="7" t="s">
        <v>58</v>
      </c>
      <c r="B953" s="2" t="s">
        <v>12003</v>
      </c>
      <c r="C953" s="2" t="s">
        <v>12004</v>
      </c>
      <c r="D953" s="2" t="s">
        <v>12005</v>
      </c>
      <c r="F953" s="3" t="s">
        <v>58</v>
      </c>
      <c r="G953" s="3" t="s">
        <v>59</v>
      </c>
      <c r="H953" s="3" t="s">
        <v>58</v>
      </c>
      <c r="I953" s="3" t="s">
        <v>58</v>
      </c>
      <c r="J953" s="3" t="s">
        <v>60</v>
      </c>
      <c r="K953" s="2" t="s">
        <v>12006</v>
      </c>
      <c r="L953" s="2" t="s">
        <v>12007</v>
      </c>
      <c r="M953" s="3" t="s">
        <v>845</v>
      </c>
      <c r="O953" s="3" t="s">
        <v>65</v>
      </c>
      <c r="P953" s="3" t="s">
        <v>186</v>
      </c>
      <c r="Q953" s="2" t="s">
        <v>12008</v>
      </c>
      <c r="R953" s="3" t="s">
        <v>68</v>
      </c>
      <c r="S953" s="4">
        <v>2</v>
      </c>
      <c r="T953" s="4">
        <v>2</v>
      </c>
      <c r="U953" s="5" t="s">
        <v>12009</v>
      </c>
      <c r="V953" s="5" t="s">
        <v>12009</v>
      </c>
      <c r="W953" s="5" t="s">
        <v>131</v>
      </c>
      <c r="X953" s="5" t="s">
        <v>131</v>
      </c>
      <c r="Y953" s="4">
        <v>234</v>
      </c>
      <c r="Z953" s="4">
        <v>201</v>
      </c>
      <c r="AA953" s="4">
        <v>212</v>
      </c>
      <c r="AB953" s="4">
        <v>3</v>
      </c>
      <c r="AC953" s="4">
        <v>4</v>
      </c>
      <c r="AD953" s="4">
        <v>30</v>
      </c>
      <c r="AE953" s="4">
        <v>31</v>
      </c>
      <c r="AF953" s="4">
        <v>9</v>
      </c>
      <c r="AG953" s="4">
        <v>9</v>
      </c>
      <c r="AH953" s="4">
        <v>9</v>
      </c>
      <c r="AI953" s="4">
        <v>9</v>
      </c>
      <c r="AJ953" s="4">
        <v>18</v>
      </c>
      <c r="AK953" s="4">
        <v>19</v>
      </c>
      <c r="AL953" s="4">
        <v>2</v>
      </c>
      <c r="AM953" s="4">
        <v>2</v>
      </c>
      <c r="AN953" s="4">
        <v>0</v>
      </c>
      <c r="AO953" s="4">
        <v>0</v>
      </c>
      <c r="AP953" s="3" t="s">
        <v>58</v>
      </c>
      <c r="AQ953" s="3" t="s">
        <v>58</v>
      </c>
      <c r="AS953" s="6" t="str">
        <f>HYPERLINK("https://creighton-primo.hosted.exlibrisgroup.com/primo-explore/search?tab=default_tab&amp;search_scope=EVERYTHING&amp;vid=01CRU&amp;lang=en_US&amp;offset=0&amp;query=any,contains,991000207399702656","Catalog Record")</f>
        <v>Catalog Record</v>
      </c>
      <c r="AT953" s="6" t="str">
        <f>HYPERLINK("http://www.worldcat.org/oclc/65630","WorldCat Record")</f>
        <v>WorldCat Record</v>
      </c>
      <c r="AU953" s="3" t="s">
        <v>12010</v>
      </c>
      <c r="AV953" s="3" t="s">
        <v>12011</v>
      </c>
      <c r="AW953" s="3" t="s">
        <v>12012</v>
      </c>
      <c r="AX953" s="3" t="s">
        <v>12012</v>
      </c>
      <c r="AY953" s="3" t="s">
        <v>12013</v>
      </c>
      <c r="AZ953" s="3" t="s">
        <v>75</v>
      </c>
      <c r="BC953" s="3" t="s">
        <v>12014</v>
      </c>
      <c r="BD953" s="3" t="s">
        <v>12015</v>
      </c>
    </row>
    <row r="954" spans="1:56" ht="39" customHeight="1" x14ac:dyDescent="0.25">
      <c r="A954" s="7" t="s">
        <v>58</v>
      </c>
      <c r="B954" s="2" t="s">
        <v>12016</v>
      </c>
      <c r="C954" s="2" t="s">
        <v>12017</v>
      </c>
      <c r="D954" s="2" t="s">
        <v>12018</v>
      </c>
      <c r="F954" s="3" t="s">
        <v>58</v>
      </c>
      <c r="G954" s="3" t="s">
        <v>59</v>
      </c>
      <c r="H954" s="3" t="s">
        <v>58</v>
      </c>
      <c r="I954" s="3" t="s">
        <v>58</v>
      </c>
      <c r="J954" s="3" t="s">
        <v>60</v>
      </c>
      <c r="K954" s="2" t="s">
        <v>3711</v>
      </c>
      <c r="L954" s="2" t="s">
        <v>12019</v>
      </c>
      <c r="M954" s="3" t="s">
        <v>759</v>
      </c>
      <c r="O954" s="3" t="s">
        <v>65</v>
      </c>
      <c r="P954" s="3" t="s">
        <v>304</v>
      </c>
      <c r="R954" s="3" t="s">
        <v>68</v>
      </c>
      <c r="S954" s="4">
        <v>7</v>
      </c>
      <c r="T954" s="4">
        <v>7</v>
      </c>
      <c r="U954" s="5" t="s">
        <v>12020</v>
      </c>
      <c r="V954" s="5" t="s">
        <v>12020</v>
      </c>
      <c r="W954" s="5" t="s">
        <v>131</v>
      </c>
      <c r="X954" s="5" t="s">
        <v>131</v>
      </c>
      <c r="Y954" s="4">
        <v>145</v>
      </c>
      <c r="Z954" s="4">
        <v>119</v>
      </c>
      <c r="AA954" s="4">
        <v>120</v>
      </c>
      <c r="AB954" s="4">
        <v>3</v>
      </c>
      <c r="AC954" s="4">
        <v>3</v>
      </c>
      <c r="AD954" s="4">
        <v>12</v>
      </c>
      <c r="AE954" s="4">
        <v>13</v>
      </c>
      <c r="AF954" s="4">
        <v>2</v>
      </c>
      <c r="AG954" s="4">
        <v>3</v>
      </c>
      <c r="AH954" s="4">
        <v>3</v>
      </c>
      <c r="AI954" s="4">
        <v>3</v>
      </c>
      <c r="AJ954" s="4">
        <v>9</v>
      </c>
      <c r="AK954" s="4">
        <v>10</v>
      </c>
      <c r="AL954" s="4">
        <v>0</v>
      </c>
      <c r="AM954" s="4">
        <v>0</v>
      </c>
      <c r="AN954" s="4">
        <v>0</v>
      </c>
      <c r="AO954" s="4">
        <v>0</v>
      </c>
      <c r="AP954" s="3" t="s">
        <v>58</v>
      </c>
      <c r="AQ954" s="3" t="s">
        <v>58</v>
      </c>
      <c r="AS954" s="6" t="str">
        <f>HYPERLINK("https://creighton-primo.hosted.exlibrisgroup.com/primo-explore/search?tab=default_tab&amp;search_scope=EVERYTHING&amp;vid=01CRU&amp;lang=en_US&amp;offset=0&amp;query=any,contains,991001247979702656","Catalog Record")</f>
        <v>Catalog Record</v>
      </c>
      <c r="AT954" s="6" t="str">
        <f>HYPERLINK("http://www.worldcat.org/oclc/17652157","WorldCat Record")</f>
        <v>WorldCat Record</v>
      </c>
      <c r="AU954" s="3" t="s">
        <v>12021</v>
      </c>
      <c r="AV954" s="3" t="s">
        <v>12022</v>
      </c>
      <c r="AW954" s="3" t="s">
        <v>12023</v>
      </c>
      <c r="AX954" s="3" t="s">
        <v>12023</v>
      </c>
      <c r="AY954" s="3" t="s">
        <v>12024</v>
      </c>
      <c r="AZ954" s="3" t="s">
        <v>75</v>
      </c>
      <c r="BB954" s="3" t="s">
        <v>12025</v>
      </c>
      <c r="BC954" s="3" t="s">
        <v>12026</v>
      </c>
      <c r="BD954" s="3" t="s">
        <v>12027</v>
      </c>
    </row>
    <row r="955" spans="1:56" ht="39" customHeight="1" x14ac:dyDescent="0.25">
      <c r="A955" s="7" t="s">
        <v>58</v>
      </c>
      <c r="B955" s="2" t="s">
        <v>12028</v>
      </c>
      <c r="C955" s="2" t="s">
        <v>12029</v>
      </c>
      <c r="D955" s="2" t="s">
        <v>12030</v>
      </c>
      <c r="F955" s="3" t="s">
        <v>58</v>
      </c>
      <c r="G955" s="3" t="s">
        <v>59</v>
      </c>
      <c r="H955" s="3" t="s">
        <v>58</v>
      </c>
      <c r="I955" s="3" t="s">
        <v>58</v>
      </c>
      <c r="J955" s="3" t="s">
        <v>60</v>
      </c>
      <c r="K955" s="2" t="s">
        <v>12031</v>
      </c>
      <c r="L955" s="2" t="s">
        <v>12032</v>
      </c>
      <c r="M955" s="3" t="s">
        <v>845</v>
      </c>
      <c r="O955" s="3" t="s">
        <v>65</v>
      </c>
      <c r="P955" s="3" t="s">
        <v>66</v>
      </c>
      <c r="Q955" s="2" t="s">
        <v>12033</v>
      </c>
      <c r="R955" s="3" t="s">
        <v>68</v>
      </c>
      <c r="S955" s="4">
        <v>5</v>
      </c>
      <c r="T955" s="4">
        <v>5</v>
      </c>
      <c r="U955" s="5" t="s">
        <v>12034</v>
      </c>
      <c r="V955" s="5" t="s">
        <v>12034</v>
      </c>
      <c r="W955" s="5" t="s">
        <v>3989</v>
      </c>
      <c r="X955" s="5" t="s">
        <v>3989</v>
      </c>
      <c r="Y955" s="4">
        <v>395</v>
      </c>
      <c r="Z955" s="4">
        <v>288</v>
      </c>
      <c r="AA955" s="4">
        <v>291</v>
      </c>
      <c r="AB955" s="4">
        <v>3</v>
      </c>
      <c r="AC955" s="4">
        <v>3</v>
      </c>
      <c r="AD955" s="4">
        <v>20</v>
      </c>
      <c r="AE955" s="4">
        <v>20</v>
      </c>
      <c r="AF955" s="4">
        <v>5</v>
      </c>
      <c r="AG955" s="4">
        <v>5</v>
      </c>
      <c r="AH955" s="4">
        <v>7</v>
      </c>
      <c r="AI955" s="4">
        <v>7</v>
      </c>
      <c r="AJ955" s="4">
        <v>11</v>
      </c>
      <c r="AK955" s="4">
        <v>11</v>
      </c>
      <c r="AL955" s="4">
        <v>2</v>
      </c>
      <c r="AM955" s="4">
        <v>2</v>
      </c>
      <c r="AN955" s="4">
        <v>0</v>
      </c>
      <c r="AO955" s="4">
        <v>0</v>
      </c>
      <c r="AP955" s="3" t="s">
        <v>58</v>
      </c>
      <c r="AQ955" s="3" t="s">
        <v>132</v>
      </c>
      <c r="AR955" s="6" t="str">
        <f>HYPERLINK("http://catalog.hathitrust.org/Record/001931520","HathiTrust Record")</f>
        <v>HathiTrust Record</v>
      </c>
      <c r="AS955" s="6" t="str">
        <f>HYPERLINK("https://creighton-primo.hosted.exlibrisgroup.com/primo-explore/search?tab=default_tab&amp;search_scope=EVERYTHING&amp;vid=01CRU&amp;lang=en_US&amp;offset=0&amp;query=any,contains,991000015109702656","Catalog Record")</f>
        <v>Catalog Record</v>
      </c>
      <c r="AT955" s="6" t="str">
        <f>HYPERLINK("http://www.worldcat.org/oclc/16376","WorldCat Record")</f>
        <v>WorldCat Record</v>
      </c>
      <c r="AU955" s="3" t="s">
        <v>12035</v>
      </c>
      <c r="AV955" s="3" t="s">
        <v>12036</v>
      </c>
      <c r="AW955" s="3" t="s">
        <v>12037</v>
      </c>
      <c r="AX955" s="3" t="s">
        <v>12037</v>
      </c>
      <c r="AY955" s="3" t="s">
        <v>12038</v>
      </c>
      <c r="AZ955" s="3" t="s">
        <v>75</v>
      </c>
      <c r="BB955" s="3" t="s">
        <v>12039</v>
      </c>
      <c r="BC955" s="3" t="s">
        <v>12040</v>
      </c>
      <c r="BD955" s="3" t="s">
        <v>12041</v>
      </c>
    </row>
    <row r="956" spans="1:56" ht="39" customHeight="1" x14ac:dyDescent="0.25">
      <c r="A956" s="7" t="s">
        <v>58</v>
      </c>
      <c r="B956" s="2" t="s">
        <v>12042</v>
      </c>
      <c r="C956" s="2" t="s">
        <v>12043</v>
      </c>
      <c r="D956" s="2" t="s">
        <v>12044</v>
      </c>
      <c r="F956" s="3" t="s">
        <v>58</v>
      </c>
      <c r="G956" s="3" t="s">
        <v>59</v>
      </c>
      <c r="H956" s="3" t="s">
        <v>58</v>
      </c>
      <c r="I956" s="3" t="s">
        <v>58</v>
      </c>
      <c r="J956" s="3" t="s">
        <v>60</v>
      </c>
      <c r="K956" s="2" t="s">
        <v>12045</v>
      </c>
      <c r="L956" s="2" t="s">
        <v>12046</v>
      </c>
      <c r="M956" s="3" t="s">
        <v>6893</v>
      </c>
      <c r="O956" s="3" t="s">
        <v>1490</v>
      </c>
      <c r="P956" s="3" t="s">
        <v>954</v>
      </c>
      <c r="Q956" s="2" t="s">
        <v>12047</v>
      </c>
      <c r="R956" s="3" t="s">
        <v>68</v>
      </c>
      <c r="S956" s="4">
        <v>0</v>
      </c>
      <c r="T956" s="4">
        <v>0</v>
      </c>
      <c r="U956" s="5" t="s">
        <v>12048</v>
      </c>
      <c r="V956" s="5" t="s">
        <v>12048</v>
      </c>
      <c r="W956" s="5" t="s">
        <v>3989</v>
      </c>
      <c r="X956" s="5" t="s">
        <v>3989</v>
      </c>
      <c r="Y956" s="4">
        <v>173</v>
      </c>
      <c r="Z956" s="4">
        <v>104</v>
      </c>
      <c r="AA956" s="4">
        <v>106</v>
      </c>
      <c r="AB956" s="4">
        <v>1</v>
      </c>
      <c r="AC956" s="4">
        <v>1</v>
      </c>
      <c r="AD956" s="4">
        <v>13</v>
      </c>
      <c r="AE956" s="4">
        <v>13</v>
      </c>
      <c r="AF956" s="4">
        <v>2</v>
      </c>
      <c r="AG956" s="4">
        <v>2</v>
      </c>
      <c r="AH956" s="4">
        <v>4</v>
      </c>
      <c r="AI956" s="4">
        <v>4</v>
      </c>
      <c r="AJ956" s="4">
        <v>9</v>
      </c>
      <c r="AK956" s="4">
        <v>9</v>
      </c>
      <c r="AL956" s="4">
        <v>0</v>
      </c>
      <c r="AM956" s="4">
        <v>0</v>
      </c>
      <c r="AN956" s="4">
        <v>0</v>
      </c>
      <c r="AO956" s="4">
        <v>0</v>
      </c>
      <c r="AP956" s="3" t="s">
        <v>58</v>
      </c>
      <c r="AQ956" s="3" t="s">
        <v>132</v>
      </c>
      <c r="AR956" s="6" t="str">
        <f>HYPERLINK("http://catalog.hathitrust.org/Record/007352376","HathiTrust Record")</f>
        <v>HathiTrust Record</v>
      </c>
      <c r="AS956" s="6" t="str">
        <f>HYPERLINK("https://creighton-primo.hosted.exlibrisgroup.com/primo-explore/search?tab=default_tab&amp;search_scope=EVERYTHING&amp;vid=01CRU&amp;lang=en_US&amp;offset=0&amp;query=any,contains,991003815129702656","Catalog Record")</f>
        <v>Catalog Record</v>
      </c>
      <c r="AT956" s="6" t="str">
        <f>HYPERLINK("http://www.worldcat.org/oclc/1546870","WorldCat Record")</f>
        <v>WorldCat Record</v>
      </c>
      <c r="AU956" s="3" t="s">
        <v>12049</v>
      </c>
      <c r="AV956" s="3" t="s">
        <v>12050</v>
      </c>
      <c r="AW956" s="3" t="s">
        <v>12051</v>
      </c>
      <c r="AX956" s="3" t="s">
        <v>12051</v>
      </c>
      <c r="AY956" s="3" t="s">
        <v>12052</v>
      </c>
      <c r="AZ956" s="3" t="s">
        <v>75</v>
      </c>
      <c r="BC956" s="3" t="s">
        <v>12053</v>
      </c>
      <c r="BD956" s="3" t="s">
        <v>12054</v>
      </c>
    </row>
    <row r="957" spans="1:56" ht="39" customHeight="1" x14ac:dyDescent="0.25">
      <c r="A957" s="7" t="s">
        <v>58</v>
      </c>
      <c r="B957" s="2" t="s">
        <v>12055</v>
      </c>
      <c r="C957" s="2" t="s">
        <v>12056</v>
      </c>
      <c r="D957" s="2" t="s">
        <v>12057</v>
      </c>
      <c r="F957" s="3" t="s">
        <v>58</v>
      </c>
      <c r="G957" s="3" t="s">
        <v>59</v>
      </c>
      <c r="H957" s="3" t="s">
        <v>58</v>
      </c>
      <c r="I957" s="3" t="s">
        <v>58</v>
      </c>
      <c r="J957" s="3" t="s">
        <v>60</v>
      </c>
      <c r="K957" s="2" t="s">
        <v>2301</v>
      </c>
      <c r="L957" s="2" t="s">
        <v>12058</v>
      </c>
      <c r="M957" s="3" t="s">
        <v>682</v>
      </c>
      <c r="O957" s="3" t="s">
        <v>65</v>
      </c>
      <c r="P957" s="3" t="s">
        <v>1358</v>
      </c>
      <c r="R957" s="3" t="s">
        <v>68</v>
      </c>
      <c r="S957" s="4">
        <v>2</v>
      </c>
      <c r="T957" s="4">
        <v>2</v>
      </c>
      <c r="U957" s="5" t="s">
        <v>12059</v>
      </c>
      <c r="V957" s="5" t="s">
        <v>12059</v>
      </c>
      <c r="W957" s="5" t="s">
        <v>3989</v>
      </c>
      <c r="X957" s="5" t="s">
        <v>3989</v>
      </c>
      <c r="Y957" s="4">
        <v>228</v>
      </c>
      <c r="Z957" s="4">
        <v>210</v>
      </c>
      <c r="AA957" s="4">
        <v>282</v>
      </c>
      <c r="AB957" s="4">
        <v>2</v>
      </c>
      <c r="AC957" s="4">
        <v>2</v>
      </c>
      <c r="AD957" s="4">
        <v>25</v>
      </c>
      <c r="AE957" s="4">
        <v>30</v>
      </c>
      <c r="AF957" s="4">
        <v>9</v>
      </c>
      <c r="AG957" s="4">
        <v>10</v>
      </c>
      <c r="AH957" s="4">
        <v>7</v>
      </c>
      <c r="AI957" s="4">
        <v>7</v>
      </c>
      <c r="AJ957" s="4">
        <v>21</v>
      </c>
      <c r="AK957" s="4">
        <v>26</v>
      </c>
      <c r="AL957" s="4">
        <v>0</v>
      </c>
      <c r="AM957" s="4">
        <v>0</v>
      </c>
      <c r="AN957" s="4">
        <v>0</v>
      </c>
      <c r="AO957" s="4">
        <v>0</v>
      </c>
      <c r="AP957" s="3" t="s">
        <v>58</v>
      </c>
      <c r="AQ957" s="3" t="s">
        <v>58</v>
      </c>
      <c r="AS957" s="6" t="str">
        <f>HYPERLINK("https://creighton-primo.hosted.exlibrisgroup.com/primo-explore/search?tab=default_tab&amp;search_scope=EVERYTHING&amp;vid=01CRU&amp;lang=en_US&amp;offset=0&amp;query=any,contains,991003663599702656","Catalog Record")</f>
        <v>Catalog Record</v>
      </c>
      <c r="AT957" s="6" t="str">
        <f>HYPERLINK("http://www.worldcat.org/oclc/1275635","WorldCat Record")</f>
        <v>WorldCat Record</v>
      </c>
      <c r="AU957" s="3" t="s">
        <v>12060</v>
      </c>
      <c r="AV957" s="3" t="s">
        <v>12061</v>
      </c>
      <c r="AW957" s="3" t="s">
        <v>12062</v>
      </c>
      <c r="AX957" s="3" t="s">
        <v>12062</v>
      </c>
      <c r="AY957" s="3" t="s">
        <v>12063</v>
      </c>
      <c r="AZ957" s="3" t="s">
        <v>75</v>
      </c>
      <c r="BC957" s="3" t="s">
        <v>12064</v>
      </c>
      <c r="BD957" s="3" t="s">
        <v>12065</v>
      </c>
    </row>
    <row r="958" spans="1:56" ht="39" customHeight="1" x14ac:dyDescent="0.25">
      <c r="A958" s="7" t="s">
        <v>58</v>
      </c>
      <c r="B958" s="2" t="s">
        <v>12066</v>
      </c>
      <c r="C958" s="2" t="s">
        <v>12067</v>
      </c>
      <c r="D958" s="2" t="s">
        <v>12068</v>
      </c>
      <c r="F958" s="3" t="s">
        <v>58</v>
      </c>
      <c r="G958" s="3" t="s">
        <v>59</v>
      </c>
      <c r="H958" s="3" t="s">
        <v>58</v>
      </c>
      <c r="I958" s="3" t="s">
        <v>58</v>
      </c>
      <c r="J958" s="3" t="s">
        <v>60</v>
      </c>
      <c r="K958" s="2" t="s">
        <v>12069</v>
      </c>
      <c r="L958" s="2" t="s">
        <v>12070</v>
      </c>
      <c r="M958" s="3" t="s">
        <v>631</v>
      </c>
      <c r="O958" s="3" t="s">
        <v>65</v>
      </c>
      <c r="P958" s="3" t="s">
        <v>186</v>
      </c>
      <c r="R958" s="3" t="s">
        <v>68</v>
      </c>
      <c r="S958" s="4">
        <v>1</v>
      </c>
      <c r="T958" s="4">
        <v>1</v>
      </c>
      <c r="U958" s="5" t="s">
        <v>12071</v>
      </c>
      <c r="V958" s="5" t="s">
        <v>12071</v>
      </c>
      <c r="W958" s="5" t="s">
        <v>12072</v>
      </c>
      <c r="X958" s="5" t="s">
        <v>12072</v>
      </c>
      <c r="Y958" s="4">
        <v>214</v>
      </c>
      <c r="Z958" s="4">
        <v>182</v>
      </c>
      <c r="AA958" s="4">
        <v>188</v>
      </c>
      <c r="AB958" s="4">
        <v>3</v>
      </c>
      <c r="AC958" s="4">
        <v>3</v>
      </c>
      <c r="AD958" s="4">
        <v>21</v>
      </c>
      <c r="AE958" s="4">
        <v>21</v>
      </c>
      <c r="AF958" s="4">
        <v>6</v>
      </c>
      <c r="AG958" s="4">
        <v>6</v>
      </c>
      <c r="AH958" s="4">
        <v>5</v>
      </c>
      <c r="AI958" s="4">
        <v>5</v>
      </c>
      <c r="AJ958" s="4">
        <v>17</v>
      </c>
      <c r="AK958" s="4">
        <v>17</v>
      </c>
      <c r="AL958" s="4">
        <v>0</v>
      </c>
      <c r="AM958" s="4">
        <v>0</v>
      </c>
      <c r="AN958" s="4">
        <v>0</v>
      </c>
      <c r="AO958" s="4">
        <v>0</v>
      </c>
      <c r="AP958" s="3" t="s">
        <v>58</v>
      </c>
      <c r="AQ958" s="3" t="s">
        <v>58</v>
      </c>
      <c r="AS958" s="6" t="str">
        <f>HYPERLINK("https://creighton-primo.hosted.exlibrisgroup.com/primo-explore/search?tab=default_tab&amp;search_scope=EVERYTHING&amp;vid=01CRU&amp;lang=en_US&amp;offset=0&amp;query=any,contains,991003597999702656","Catalog Record")</f>
        <v>Catalog Record</v>
      </c>
      <c r="AT958" s="6" t="str">
        <f>HYPERLINK("http://www.worldcat.org/oclc/1176115","WorldCat Record")</f>
        <v>WorldCat Record</v>
      </c>
      <c r="AU958" s="3" t="s">
        <v>12073</v>
      </c>
      <c r="AV958" s="3" t="s">
        <v>12074</v>
      </c>
      <c r="AW958" s="3" t="s">
        <v>12075</v>
      </c>
      <c r="AX958" s="3" t="s">
        <v>12075</v>
      </c>
      <c r="AY958" s="3" t="s">
        <v>12076</v>
      </c>
      <c r="AZ958" s="3" t="s">
        <v>75</v>
      </c>
      <c r="BB958" s="3" t="s">
        <v>12077</v>
      </c>
      <c r="BC958" s="3" t="s">
        <v>12078</v>
      </c>
      <c r="BD958" s="3" t="s">
        <v>12079</v>
      </c>
    </row>
    <row r="959" spans="1:56" ht="39" customHeight="1" x14ac:dyDescent="0.25">
      <c r="A959" s="7" t="s">
        <v>58</v>
      </c>
      <c r="B959" s="2" t="s">
        <v>12080</v>
      </c>
      <c r="C959" s="2" t="s">
        <v>12081</v>
      </c>
      <c r="D959" s="2" t="s">
        <v>12082</v>
      </c>
      <c r="F959" s="3" t="s">
        <v>58</v>
      </c>
      <c r="G959" s="3" t="s">
        <v>59</v>
      </c>
      <c r="H959" s="3" t="s">
        <v>58</v>
      </c>
      <c r="I959" s="3" t="s">
        <v>58</v>
      </c>
      <c r="J959" s="3" t="s">
        <v>60</v>
      </c>
      <c r="K959" s="2" t="s">
        <v>12083</v>
      </c>
      <c r="L959" s="2" t="s">
        <v>12084</v>
      </c>
      <c r="M959" s="3" t="s">
        <v>374</v>
      </c>
      <c r="O959" s="3" t="s">
        <v>65</v>
      </c>
      <c r="P959" s="3" t="s">
        <v>1246</v>
      </c>
      <c r="R959" s="3" t="s">
        <v>68</v>
      </c>
      <c r="S959" s="4">
        <v>6</v>
      </c>
      <c r="T959" s="4">
        <v>6</v>
      </c>
      <c r="U959" s="5" t="s">
        <v>10187</v>
      </c>
      <c r="V959" s="5" t="s">
        <v>10187</v>
      </c>
      <c r="W959" s="5" t="s">
        <v>1399</v>
      </c>
      <c r="X959" s="5" t="s">
        <v>1399</v>
      </c>
      <c r="Y959" s="4">
        <v>635</v>
      </c>
      <c r="Z959" s="4">
        <v>516</v>
      </c>
      <c r="AA959" s="4">
        <v>686</v>
      </c>
      <c r="AB959" s="4">
        <v>5</v>
      </c>
      <c r="AC959" s="4">
        <v>5</v>
      </c>
      <c r="AD959" s="4">
        <v>39</v>
      </c>
      <c r="AE959" s="4">
        <v>42</v>
      </c>
      <c r="AF959" s="4">
        <v>17</v>
      </c>
      <c r="AG959" s="4">
        <v>19</v>
      </c>
      <c r="AH959" s="4">
        <v>9</v>
      </c>
      <c r="AI959" s="4">
        <v>11</v>
      </c>
      <c r="AJ959" s="4">
        <v>21</v>
      </c>
      <c r="AK959" s="4">
        <v>22</v>
      </c>
      <c r="AL959" s="4">
        <v>4</v>
      </c>
      <c r="AM959" s="4">
        <v>4</v>
      </c>
      <c r="AN959" s="4">
        <v>0</v>
      </c>
      <c r="AO959" s="4">
        <v>0</v>
      </c>
      <c r="AP959" s="3" t="s">
        <v>58</v>
      </c>
      <c r="AQ959" s="3" t="s">
        <v>58</v>
      </c>
      <c r="AS959" s="6" t="str">
        <f>HYPERLINK("https://creighton-primo.hosted.exlibrisgroup.com/primo-explore/search?tab=default_tab&amp;search_scope=EVERYTHING&amp;vid=01CRU&amp;lang=en_US&amp;offset=0&amp;query=any,contains,991002341179702656","Catalog Record")</f>
        <v>Catalog Record</v>
      </c>
      <c r="AT959" s="6" t="str">
        <f>HYPERLINK("http://www.worldcat.org/oclc/30475886","WorldCat Record")</f>
        <v>WorldCat Record</v>
      </c>
      <c r="AU959" s="3" t="s">
        <v>12085</v>
      </c>
      <c r="AV959" s="3" t="s">
        <v>12086</v>
      </c>
      <c r="AW959" s="3" t="s">
        <v>12087</v>
      </c>
      <c r="AX959" s="3" t="s">
        <v>12087</v>
      </c>
      <c r="AY959" s="3" t="s">
        <v>12088</v>
      </c>
      <c r="AZ959" s="3" t="s">
        <v>75</v>
      </c>
      <c r="BB959" s="3" t="s">
        <v>12089</v>
      </c>
      <c r="BC959" s="3" t="s">
        <v>12090</v>
      </c>
      <c r="BD959" s="3" t="s">
        <v>12091</v>
      </c>
    </row>
    <row r="960" spans="1:56" ht="39" customHeight="1" x14ac:dyDescent="0.25">
      <c r="A960" s="7" t="s">
        <v>58</v>
      </c>
      <c r="B960" s="2" t="s">
        <v>12092</v>
      </c>
      <c r="C960" s="2" t="s">
        <v>12093</v>
      </c>
      <c r="D960" s="2" t="s">
        <v>12094</v>
      </c>
      <c r="F960" s="3" t="s">
        <v>58</v>
      </c>
      <c r="G960" s="3" t="s">
        <v>59</v>
      </c>
      <c r="H960" s="3" t="s">
        <v>58</v>
      </c>
      <c r="I960" s="3" t="s">
        <v>58</v>
      </c>
      <c r="J960" s="3" t="s">
        <v>60</v>
      </c>
      <c r="K960" s="2" t="s">
        <v>12095</v>
      </c>
      <c r="L960" s="2" t="s">
        <v>12096</v>
      </c>
      <c r="M960" s="3" t="s">
        <v>303</v>
      </c>
      <c r="O960" s="3" t="s">
        <v>65</v>
      </c>
      <c r="P960" s="3" t="s">
        <v>158</v>
      </c>
      <c r="R960" s="3" t="s">
        <v>68</v>
      </c>
      <c r="S960" s="4">
        <v>1</v>
      </c>
      <c r="T960" s="4">
        <v>1</v>
      </c>
      <c r="U960" s="5" t="s">
        <v>12097</v>
      </c>
      <c r="V960" s="5" t="s">
        <v>12097</v>
      </c>
      <c r="W960" s="5" t="s">
        <v>12072</v>
      </c>
      <c r="X960" s="5" t="s">
        <v>12072</v>
      </c>
      <c r="Y960" s="4">
        <v>544</v>
      </c>
      <c r="Z960" s="4">
        <v>457</v>
      </c>
      <c r="AA960" s="4">
        <v>462</v>
      </c>
      <c r="AB960" s="4">
        <v>3</v>
      </c>
      <c r="AC960" s="4">
        <v>3</v>
      </c>
      <c r="AD960" s="4">
        <v>34</v>
      </c>
      <c r="AE960" s="4">
        <v>34</v>
      </c>
      <c r="AF960" s="4">
        <v>13</v>
      </c>
      <c r="AG960" s="4">
        <v>13</v>
      </c>
      <c r="AH960" s="4">
        <v>9</v>
      </c>
      <c r="AI960" s="4">
        <v>9</v>
      </c>
      <c r="AJ960" s="4">
        <v>21</v>
      </c>
      <c r="AK960" s="4">
        <v>21</v>
      </c>
      <c r="AL960" s="4">
        <v>2</v>
      </c>
      <c r="AM960" s="4">
        <v>2</v>
      </c>
      <c r="AN960" s="4">
        <v>0</v>
      </c>
      <c r="AO960" s="4">
        <v>0</v>
      </c>
      <c r="AP960" s="3" t="s">
        <v>58</v>
      </c>
      <c r="AQ960" s="3" t="s">
        <v>132</v>
      </c>
      <c r="AR960" s="6" t="str">
        <f>HYPERLINK("http://catalog.hathitrust.org/Record/000722359","HathiTrust Record")</f>
        <v>HathiTrust Record</v>
      </c>
      <c r="AS960" s="6" t="str">
        <f>HYPERLINK("https://creighton-primo.hosted.exlibrisgroup.com/primo-explore/search?tab=default_tab&amp;search_scope=EVERYTHING&amp;vid=01CRU&amp;lang=en_US&amp;offset=0&amp;query=any,contains,991004008589702656","Catalog Record")</f>
        <v>Catalog Record</v>
      </c>
      <c r="AT960" s="6" t="str">
        <f>HYPERLINK("http://www.worldcat.org/oclc/2089489","WorldCat Record")</f>
        <v>WorldCat Record</v>
      </c>
      <c r="AU960" s="3" t="s">
        <v>12098</v>
      </c>
      <c r="AV960" s="3" t="s">
        <v>12099</v>
      </c>
      <c r="AW960" s="3" t="s">
        <v>12100</v>
      </c>
      <c r="AX960" s="3" t="s">
        <v>12100</v>
      </c>
      <c r="AY960" s="3" t="s">
        <v>12101</v>
      </c>
      <c r="AZ960" s="3" t="s">
        <v>75</v>
      </c>
      <c r="BB960" s="3" t="s">
        <v>12102</v>
      </c>
      <c r="BC960" s="3" t="s">
        <v>12103</v>
      </c>
      <c r="BD960" s="3" t="s">
        <v>12104</v>
      </c>
    </row>
    <row r="961" spans="1:56" ht="39" customHeight="1" x14ac:dyDescent="0.25">
      <c r="A961" s="7" t="s">
        <v>58</v>
      </c>
      <c r="B961" s="2" t="s">
        <v>12105</v>
      </c>
      <c r="C961" s="2" t="s">
        <v>12106</v>
      </c>
      <c r="D961" s="2" t="s">
        <v>12107</v>
      </c>
      <c r="F961" s="3" t="s">
        <v>58</v>
      </c>
      <c r="G961" s="3" t="s">
        <v>59</v>
      </c>
      <c r="H961" s="3" t="s">
        <v>58</v>
      </c>
      <c r="I961" s="3" t="s">
        <v>58</v>
      </c>
      <c r="J961" s="3" t="s">
        <v>60</v>
      </c>
      <c r="K961" s="2" t="s">
        <v>12108</v>
      </c>
      <c r="L961" s="2" t="s">
        <v>12109</v>
      </c>
      <c r="M961" s="3" t="s">
        <v>631</v>
      </c>
      <c r="O961" s="3" t="s">
        <v>65</v>
      </c>
      <c r="P961" s="3" t="s">
        <v>66</v>
      </c>
      <c r="R961" s="3" t="s">
        <v>68</v>
      </c>
      <c r="S961" s="4">
        <v>8</v>
      </c>
      <c r="T961" s="4">
        <v>8</v>
      </c>
      <c r="U961" s="5" t="s">
        <v>12110</v>
      </c>
      <c r="V961" s="5" t="s">
        <v>12110</v>
      </c>
      <c r="W961" s="5" t="s">
        <v>70</v>
      </c>
      <c r="X961" s="5" t="s">
        <v>70</v>
      </c>
      <c r="Y961" s="4">
        <v>486</v>
      </c>
      <c r="Z961" s="4">
        <v>344</v>
      </c>
      <c r="AA961" s="4">
        <v>665</v>
      </c>
      <c r="AB961" s="4">
        <v>3</v>
      </c>
      <c r="AC961" s="4">
        <v>5</v>
      </c>
      <c r="AD961" s="4">
        <v>21</v>
      </c>
      <c r="AE961" s="4">
        <v>33</v>
      </c>
      <c r="AF961" s="4">
        <v>5</v>
      </c>
      <c r="AG961" s="4">
        <v>12</v>
      </c>
      <c r="AH961" s="4">
        <v>6</v>
      </c>
      <c r="AI961" s="4">
        <v>8</v>
      </c>
      <c r="AJ961" s="4">
        <v>14</v>
      </c>
      <c r="AK961" s="4">
        <v>18</v>
      </c>
      <c r="AL961" s="4">
        <v>2</v>
      </c>
      <c r="AM961" s="4">
        <v>4</v>
      </c>
      <c r="AN961" s="4">
        <v>0</v>
      </c>
      <c r="AO961" s="4">
        <v>0</v>
      </c>
      <c r="AP961" s="3" t="s">
        <v>58</v>
      </c>
      <c r="AQ961" s="3" t="s">
        <v>58</v>
      </c>
      <c r="AS961" s="6" t="str">
        <f>HYPERLINK("https://creighton-primo.hosted.exlibrisgroup.com/primo-explore/search?tab=default_tab&amp;search_scope=EVERYTHING&amp;vid=01CRU&amp;lang=en_US&amp;offset=0&amp;query=any,contains,991003712619702656","Catalog Record")</f>
        <v>Catalog Record</v>
      </c>
      <c r="AT961" s="6" t="str">
        <f>HYPERLINK("http://www.worldcat.org/oclc/1354740","WorldCat Record")</f>
        <v>WorldCat Record</v>
      </c>
      <c r="AU961" s="3" t="s">
        <v>12111</v>
      </c>
      <c r="AV961" s="3" t="s">
        <v>12112</v>
      </c>
      <c r="AW961" s="3" t="s">
        <v>12113</v>
      </c>
      <c r="AX961" s="3" t="s">
        <v>12113</v>
      </c>
      <c r="AY961" s="3" t="s">
        <v>12114</v>
      </c>
      <c r="AZ961" s="3" t="s">
        <v>75</v>
      </c>
      <c r="BB961" s="3" t="s">
        <v>12115</v>
      </c>
      <c r="BC961" s="3" t="s">
        <v>12116</v>
      </c>
      <c r="BD961" s="3" t="s">
        <v>12117</v>
      </c>
    </row>
    <row r="962" spans="1:56" ht="39" customHeight="1" x14ac:dyDescent="0.25">
      <c r="A962" s="7" t="s">
        <v>58</v>
      </c>
      <c r="B962" s="2" t="s">
        <v>12118</v>
      </c>
      <c r="C962" s="2" t="s">
        <v>12119</v>
      </c>
      <c r="D962" s="2" t="s">
        <v>12120</v>
      </c>
      <c r="F962" s="3" t="s">
        <v>58</v>
      </c>
      <c r="G962" s="3" t="s">
        <v>59</v>
      </c>
      <c r="H962" s="3" t="s">
        <v>58</v>
      </c>
      <c r="I962" s="3" t="s">
        <v>58</v>
      </c>
      <c r="J962" s="3" t="s">
        <v>60</v>
      </c>
      <c r="K962" s="2" t="s">
        <v>12121</v>
      </c>
      <c r="L962" s="2" t="s">
        <v>12122</v>
      </c>
      <c r="M962" s="3" t="s">
        <v>655</v>
      </c>
      <c r="O962" s="3" t="s">
        <v>65</v>
      </c>
      <c r="P962" s="3" t="s">
        <v>84</v>
      </c>
      <c r="R962" s="3" t="s">
        <v>68</v>
      </c>
      <c r="S962" s="4">
        <v>3</v>
      </c>
      <c r="T962" s="4">
        <v>3</v>
      </c>
      <c r="U962" s="5" t="s">
        <v>12123</v>
      </c>
      <c r="V962" s="5" t="s">
        <v>12123</v>
      </c>
      <c r="W962" s="5" t="s">
        <v>86</v>
      </c>
      <c r="X962" s="5" t="s">
        <v>86</v>
      </c>
      <c r="Y962" s="4">
        <v>623</v>
      </c>
      <c r="Z962" s="4">
        <v>522</v>
      </c>
      <c r="AA962" s="4">
        <v>529</v>
      </c>
      <c r="AB962" s="4">
        <v>5</v>
      </c>
      <c r="AC962" s="4">
        <v>5</v>
      </c>
      <c r="AD962" s="4">
        <v>41</v>
      </c>
      <c r="AE962" s="4">
        <v>41</v>
      </c>
      <c r="AF962" s="4">
        <v>16</v>
      </c>
      <c r="AG962" s="4">
        <v>16</v>
      </c>
      <c r="AH962" s="4">
        <v>10</v>
      </c>
      <c r="AI962" s="4">
        <v>10</v>
      </c>
      <c r="AJ962" s="4">
        <v>24</v>
      </c>
      <c r="AK962" s="4">
        <v>24</v>
      </c>
      <c r="AL962" s="4">
        <v>3</v>
      </c>
      <c r="AM962" s="4">
        <v>3</v>
      </c>
      <c r="AN962" s="4">
        <v>0</v>
      </c>
      <c r="AO962" s="4">
        <v>0</v>
      </c>
      <c r="AP962" s="3" t="s">
        <v>58</v>
      </c>
      <c r="AQ962" s="3" t="s">
        <v>132</v>
      </c>
      <c r="AR962" s="6" t="str">
        <f>HYPERLINK("http://catalog.hathitrust.org/Record/000686719","HathiTrust Record")</f>
        <v>HathiTrust Record</v>
      </c>
      <c r="AS962" s="6" t="str">
        <f>HYPERLINK("https://creighton-primo.hosted.exlibrisgroup.com/primo-explore/search?tab=default_tab&amp;search_scope=EVERYTHING&amp;vid=01CRU&amp;lang=en_US&amp;offset=0&amp;query=any,contains,991003085969702656","Catalog Record")</f>
        <v>Catalog Record</v>
      </c>
      <c r="AT962" s="6" t="str">
        <f>HYPERLINK("http://www.worldcat.org/oclc/636381","WorldCat Record")</f>
        <v>WorldCat Record</v>
      </c>
      <c r="AU962" s="3" t="s">
        <v>12124</v>
      </c>
      <c r="AV962" s="3" t="s">
        <v>12125</v>
      </c>
      <c r="AW962" s="3" t="s">
        <v>12126</v>
      </c>
      <c r="AX962" s="3" t="s">
        <v>12126</v>
      </c>
      <c r="AY962" s="3" t="s">
        <v>12127</v>
      </c>
      <c r="AZ962" s="3" t="s">
        <v>75</v>
      </c>
      <c r="BB962" s="3" t="s">
        <v>12128</v>
      </c>
      <c r="BC962" s="3" t="s">
        <v>12129</v>
      </c>
      <c r="BD962" s="3" t="s">
        <v>12130</v>
      </c>
    </row>
    <row r="963" spans="1:56" ht="39" customHeight="1" x14ac:dyDescent="0.25">
      <c r="A963" s="7" t="s">
        <v>58</v>
      </c>
      <c r="B963" s="2" t="s">
        <v>12131</v>
      </c>
      <c r="C963" s="2" t="s">
        <v>12132</v>
      </c>
      <c r="D963" s="2" t="s">
        <v>12133</v>
      </c>
      <c r="F963" s="3" t="s">
        <v>58</v>
      </c>
      <c r="G963" s="3" t="s">
        <v>59</v>
      </c>
      <c r="H963" s="3" t="s">
        <v>58</v>
      </c>
      <c r="I963" s="3" t="s">
        <v>58</v>
      </c>
      <c r="J963" s="3" t="s">
        <v>60</v>
      </c>
      <c r="K963" s="2" t="s">
        <v>12134</v>
      </c>
      <c r="L963" s="2" t="s">
        <v>12135</v>
      </c>
      <c r="M963" s="3" t="s">
        <v>185</v>
      </c>
      <c r="O963" s="3" t="s">
        <v>65</v>
      </c>
      <c r="P963" s="3" t="s">
        <v>158</v>
      </c>
      <c r="R963" s="3" t="s">
        <v>68</v>
      </c>
      <c r="S963" s="4">
        <v>6</v>
      </c>
      <c r="T963" s="4">
        <v>6</v>
      </c>
      <c r="U963" s="5" t="s">
        <v>12136</v>
      </c>
      <c r="V963" s="5" t="s">
        <v>12136</v>
      </c>
      <c r="W963" s="5" t="s">
        <v>259</v>
      </c>
      <c r="X963" s="5" t="s">
        <v>259</v>
      </c>
      <c r="Y963" s="4">
        <v>347</v>
      </c>
      <c r="Z963" s="4">
        <v>278</v>
      </c>
      <c r="AA963" s="4">
        <v>283</v>
      </c>
      <c r="AB963" s="4">
        <v>3</v>
      </c>
      <c r="AC963" s="4">
        <v>3</v>
      </c>
      <c r="AD963" s="4">
        <v>17</v>
      </c>
      <c r="AE963" s="4">
        <v>18</v>
      </c>
      <c r="AF963" s="4">
        <v>8</v>
      </c>
      <c r="AG963" s="4">
        <v>8</v>
      </c>
      <c r="AH963" s="4">
        <v>3</v>
      </c>
      <c r="AI963" s="4">
        <v>3</v>
      </c>
      <c r="AJ963" s="4">
        <v>10</v>
      </c>
      <c r="AK963" s="4">
        <v>11</v>
      </c>
      <c r="AL963" s="4">
        <v>2</v>
      </c>
      <c r="AM963" s="4">
        <v>2</v>
      </c>
      <c r="AN963" s="4">
        <v>0</v>
      </c>
      <c r="AO963" s="4">
        <v>0</v>
      </c>
      <c r="AP963" s="3" t="s">
        <v>58</v>
      </c>
      <c r="AQ963" s="3" t="s">
        <v>58</v>
      </c>
      <c r="AS963" s="6" t="str">
        <f>HYPERLINK("https://creighton-primo.hosted.exlibrisgroup.com/primo-explore/search?tab=default_tab&amp;search_scope=EVERYTHING&amp;vid=01CRU&amp;lang=en_US&amp;offset=0&amp;query=any,contains,991003836729702656","Catalog Record")</f>
        <v>Catalog Record</v>
      </c>
      <c r="AT963" s="6" t="str">
        <f>HYPERLINK("http://www.worldcat.org/oclc/44133065","WorldCat Record")</f>
        <v>WorldCat Record</v>
      </c>
      <c r="AU963" s="3" t="s">
        <v>12137</v>
      </c>
      <c r="AV963" s="3" t="s">
        <v>12138</v>
      </c>
      <c r="AW963" s="3" t="s">
        <v>12139</v>
      </c>
      <c r="AX963" s="3" t="s">
        <v>12139</v>
      </c>
      <c r="AY963" s="3" t="s">
        <v>12140</v>
      </c>
      <c r="AZ963" s="3" t="s">
        <v>75</v>
      </c>
      <c r="BB963" s="3" t="s">
        <v>12141</v>
      </c>
      <c r="BC963" s="3" t="s">
        <v>12142</v>
      </c>
      <c r="BD963" s="3" t="s">
        <v>12143</v>
      </c>
    </row>
    <row r="964" spans="1:56" ht="39" customHeight="1" x14ac:dyDescent="0.25">
      <c r="A964" s="7" t="s">
        <v>58</v>
      </c>
      <c r="B964" s="2" t="s">
        <v>12144</v>
      </c>
      <c r="C964" s="2" t="s">
        <v>12145</v>
      </c>
      <c r="D964" s="2" t="s">
        <v>12146</v>
      </c>
      <c r="F964" s="3" t="s">
        <v>58</v>
      </c>
      <c r="G964" s="3" t="s">
        <v>59</v>
      </c>
      <c r="H964" s="3" t="s">
        <v>58</v>
      </c>
      <c r="I964" s="3" t="s">
        <v>58</v>
      </c>
      <c r="J964" s="3" t="s">
        <v>60</v>
      </c>
      <c r="K964" s="2" t="s">
        <v>12147</v>
      </c>
      <c r="L964" s="2" t="s">
        <v>12148</v>
      </c>
      <c r="M964" s="3" t="s">
        <v>1621</v>
      </c>
      <c r="N964" s="2" t="s">
        <v>11161</v>
      </c>
      <c r="O964" s="3" t="s">
        <v>65</v>
      </c>
      <c r="P964" s="3" t="s">
        <v>158</v>
      </c>
      <c r="R964" s="3" t="s">
        <v>68</v>
      </c>
      <c r="S964" s="4">
        <v>8</v>
      </c>
      <c r="T964" s="4">
        <v>8</v>
      </c>
      <c r="U964" s="5" t="s">
        <v>12149</v>
      </c>
      <c r="V964" s="5" t="s">
        <v>12149</v>
      </c>
      <c r="W964" s="5" t="s">
        <v>86</v>
      </c>
      <c r="X964" s="5" t="s">
        <v>86</v>
      </c>
      <c r="Y964" s="4">
        <v>535</v>
      </c>
      <c r="Z964" s="4">
        <v>448</v>
      </c>
      <c r="AA964" s="4">
        <v>558</v>
      </c>
      <c r="AB964" s="4">
        <v>7</v>
      </c>
      <c r="AC964" s="4">
        <v>7</v>
      </c>
      <c r="AD964" s="4">
        <v>29</v>
      </c>
      <c r="AE964" s="4">
        <v>34</v>
      </c>
      <c r="AF964" s="4">
        <v>13</v>
      </c>
      <c r="AG964" s="4">
        <v>15</v>
      </c>
      <c r="AH964" s="4">
        <v>4</v>
      </c>
      <c r="AI964" s="4">
        <v>6</v>
      </c>
      <c r="AJ964" s="4">
        <v>14</v>
      </c>
      <c r="AK964" s="4">
        <v>18</v>
      </c>
      <c r="AL964" s="4">
        <v>4</v>
      </c>
      <c r="AM964" s="4">
        <v>4</v>
      </c>
      <c r="AN964" s="4">
        <v>0</v>
      </c>
      <c r="AO964" s="4">
        <v>0</v>
      </c>
      <c r="AP964" s="3" t="s">
        <v>58</v>
      </c>
      <c r="AQ964" s="3" t="s">
        <v>58</v>
      </c>
      <c r="AS964" s="6" t="str">
        <f>HYPERLINK("https://creighton-primo.hosted.exlibrisgroup.com/primo-explore/search?tab=default_tab&amp;search_scope=EVERYTHING&amp;vid=01CRU&amp;lang=en_US&amp;offset=0&amp;query=any,contains,991003704949702656","Catalog Record")</f>
        <v>Catalog Record</v>
      </c>
      <c r="AT964" s="6" t="str">
        <f>HYPERLINK("http://www.worldcat.org/oclc/1341551","WorldCat Record")</f>
        <v>WorldCat Record</v>
      </c>
      <c r="AU964" s="3" t="s">
        <v>12150</v>
      </c>
      <c r="AV964" s="3" t="s">
        <v>12151</v>
      </c>
      <c r="AW964" s="3" t="s">
        <v>12152</v>
      </c>
      <c r="AX964" s="3" t="s">
        <v>12152</v>
      </c>
      <c r="AY964" s="3" t="s">
        <v>12153</v>
      </c>
      <c r="AZ964" s="3" t="s">
        <v>75</v>
      </c>
      <c r="BB964" s="3" t="s">
        <v>12154</v>
      </c>
      <c r="BC964" s="3" t="s">
        <v>12155</v>
      </c>
      <c r="BD964" s="3" t="s">
        <v>12156</v>
      </c>
    </row>
    <row r="965" spans="1:56" ht="39" customHeight="1" x14ac:dyDescent="0.25">
      <c r="A965" s="7" t="s">
        <v>58</v>
      </c>
      <c r="B965" s="2" t="s">
        <v>12157</v>
      </c>
      <c r="C965" s="2" t="s">
        <v>12158</v>
      </c>
      <c r="D965" s="2" t="s">
        <v>12159</v>
      </c>
      <c r="F965" s="3" t="s">
        <v>58</v>
      </c>
      <c r="G965" s="3" t="s">
        <v>59</v>
      </c>
      <c r="H965" s="3" t="s">
        <v>58</v>
      </c>
      <c r="I965" s="3" t="s">
        <v>58</v>
      </c>
      <c r="J965" s="3" t="s">
        <v>60</v>
      </c>
      <c r="L965" s="2" t="s">
        <v>12160</v>
      </c>
      <c r="M965" s="3" t="s">
        <v>966</v>
      </c>
      <c r="O965" s="3" t="s">
        <v>65</v>
      </c>
      <c r="P965" s="3" t="s">
        <v>1246</v>
      </c>
      <c r="Q965" s="2" t="s">
        <v>12161</v>
      </c>
      <c r="R965" s="3" t="s">
        <v>68</v>
      </c>
      <c r="S965" s="4">
        <v>7</v>
      </c>
      <c r="T965" s="4">
        <v>7</v>
      </c>
      <c r="U965" s="5" t="s">
        <v>12162</v>
      </c>
      <c r="V965" s="5" t="s">
        <v>12162</v>
      </c>
      <c r="W965" s="5" t="s">
        <v>12163</v>
      </c>
      <c r="X965" s="5" t="s">
        <v>12163</v>
      </c>
      <c r="Y965" s="4">
        <v>223</v>
      </c>
      <c r="Z965" s="4">
        <v>167</v>
      </c>
      <c r="AA965" s="4">
        <v>167</v>
      </c>
      <c r="AB965" s="4">
        <v>1</v>
      </c>
      <c r="AC965" s="4">
        <v>1</v>
      </c>
      <c r="AD965" s="4">
        <v>13</v>
      </c>
      <c r="AE965" s="4">
        <v>13</v>
      </c>
      <c r="AF965" s="4">
        <v>5</v>
      </c>
      <c r="AG965" s="4">
        <v>5</v>
      </c>
      <c r="AH965" s="4">
        <v>3</v>
      </c>
      <c r="AI965" s="4">
        <v>3</v>
      </c>
      <c r="AJ965" s="4">
        <v>9</v>
      </c>
      <c r="AK965" s="4">
        <v>9</v>
      </c>
      <c r="AL965" s="4">
        <v>0</v>
      </c>
      <c r="AM965" s="4">
        <v>0</v>
      </c>
      <c r="AN965" s="4">
        <v>0</v>
      </c>
      <c r="AO965" s="4">
        <v>0</v>
      </c>
      <c r="AP965" s="3" t="s">
        <v>58</v>
      </c>
      <c r="AQ965" s="3" t="s">
        <v>58</v>
      </c>
      <c r="AS965" s="6" t="str">
        <f>HYPERLINK("https://creighton-primo.hosted.exlibrisgroup.com/primo-explore/search?tab=default_tab&amp;search_scope=EVERYTHING&amp;vid=01CRU&amp;lang=en_US&amp;offset=0&amp;query=any,contains,991002115039702656","Catalog Record")</f>
        <v>Catalog Record</v>
      </c>
      <c r="AT965" s="6" t="str">
        <f>HYPERLINK("http://www.worldcat.org/oclc/27107079","WorldCat Record")</f>
        <v>WorldCat Record</v>
      </c>
      <c r="AU965" s="3" t="s">
        <v>12164</v>
      </c>
      <c r="AV965" s="3" t="s">
        <v>12165</v>
      </c>
      <c r="AW965" s="3" t="s">
        <v>12166</v>
      </c>
      <c r="AX965" s="3" t="s">
        <v>12166</v>
      </c>
      <c r="AY965" s="3" t="s">
        <v>12167</v>
      </c>
      <c r="AZ965" s="3" t="s">
        <v>75</v>
      </c>
      <c r="BB965" s="3" t="s">
        <v>12168</v>
      </c>
      <c r="BC965" s="3" t="s">
        <v>12169</v>
      </c>
      <c r="BD965" s="3" t="s">
        <v>12170</v>
      </c>
    </row>
    <row r="966" spans="1:56" ht="39" customHeight="1" x14ac:dyDescent="0.25">
      <c r="A966" s="7" t="s">
        <v>58</v>
      </c>
      <c r="B966" s="2" t="s">
        <v>12171</v>
      </c>
      <c r="C966" s="2" t="s">
        <v>12172</v>
      </c>
      <c r="D966" s="2" t="s">
        <v>12173</v>
      </c>
      <c r="F966" s="3" t="s">
        <v>58</v>
      </c>
      <c r="G966" s="3" t="s">
        <v>59</v>
      </c>
      <c r="H966" s="3" t="s">
        <v>58</v>
      </c>
      <c r="I966" s="3" t="s">
        <v>58</v>
      </c>
      <c r="J966" s="3" t="s">
        <v>60</v>
      </c>
      <c r="K966" s="2" t="s">
        <v>12174</v>
      </c>
      <c r="L966" s="2" t="s">
        <v>12175</v>
      </c>
      <c r="M966" s="3" t="s">
        <v>462</v>
      </c>
      <c r="O966" s="3" t="s">
        <v>65</v>
      </c>
      <c r="P966" s="3" t="s">
        <v>66</v>
      </c>
      <c r="R966" s="3" t="s">
        <v>68</v>
      </c>
      <c r="S966" s="4">
        <v>2</v>
      </c>
      <c r="T966" s="4">
        <v>2</v>
      </c>
      <c r="U966" s="5" t="s">
        <v>12176</v>
      </c>
      <c r="V966" s="5" t="s">
        <v>12176</v>
      </c>
      <c r="W966" s="5" t="s">
        <v>12072</v>
      </c>
      <c r="X966" s="5" t="s">
        <v>12072</v>
      </c>
      <c r="Y966" s="4">
        <v>75</v>
      </c>
      <c r="Z966" s="4">
        <v>41</v>
      </c>
      <c r="AA966" s="4">
        <v>47</v>
      </c>
      <c r="AB966" s="4">
        <v>1</v>
      </c>
      <c r="AC966" s="4">
        <v>1</v>
      </c>
      <c r="AD966" s="4">
        <v>3</v>
      </c>
      <c r="AE966" s="4">
        <v>3</v>
      </c>
      <c r="AF966" s="4">
        <v>0</v>
      </c>
      <c r="AG966" s="4">
        <v>0</v>
      </c>
      <c r="AH966" s="4">
        <v>0</v>
      </c>
      <c r="AI966" s="4">
        <v>0</v>
      </c>
      <c r="AJ966" s="4">
        <v>3</v>
      </c>
      <c r="AK966" s="4">
        <v>3</v>
      </c>
      <c r="AL966" s="4">
        <v>0</v>
      </c>
      <c r="AM966" s="4">
        <v>0</v>
      </c>
      <c r="AN966" s="4">
        <v>0</v>
      </c>
      <c r="AO966" s="4">
        <v>0</v>
      </c>
      <c r="AP966" s="3" t="s">
        <v>58</v>
      </c>
      <c r="AQ966" s="3" t="s">
        <v>132</v>
      </c>
      <c r="AR966" s="6" t="str">
        <f>HYPERLINK("http://catalog.hathitrust.org/Record/000407350","HathiTrust Record")</f>
        <v>HathiTrust Record</v>
      </c>
      <c r="AS966" s="6" t="str">
        <f>HYPERLINK("https://creighton-primo.hosted.exlibrisgroup.com/primo-explore/search?tab=default_tab&amp;search_scope=EVERYTHING&amp;vid=01CRU&amp;lang=en_US&amp;offset=0&amp;query=any,contains,991000556659702656","Catalog Record")</f>
        <v>Catalog Record</v>
      </c>
      <c r="AT966" s="6" t="str">
        <f>HYPERLINK("http://www.worldcat.org/oclc/60045736","WorldCat Record")</f>
        <v>WorldCat Record</v>
      </c>
      <c r="AU966" s="3" t="s">
        <v>12177</v>
      </c>
      <c r="AV966" s="3" t="s">
        <v>12178</v>
      </c>
      <c r="AW966" s="3" t="s">
        <v>12179</v>
      </c>
      <c r="AX966" s="3" t="s">
        <v>12179</v>
      </c>
      <c r="AY966" s="3" t="s">
        <v>12180</v>
      </c>
      <c r="AZ966" s="3" t="s">
        <v>75</v>
      </c>
      <c r="BB966" s="3" t="s">
        <v>12181</v>
      </c>
      <c r="BC966" s="3" t="s">
        <v>12182</v>
      </c>
      <c r="BD966" s="3" t="s">
        <v>12183</v>
      </c>
    </row>
    <row r="967" spans="1:56" ht="39" customHeight="1" x14ac:dyDescent="0.25">
      <c r="A967" s="7" t="s">
        <v>58</v>
      </c>
      <c r="B967" s="2" t="s">
        <v>12184</v>
      </c>
      <c r="C967" s="2" t="s">
        <v>12185</v>
      </c>
      <c r="D967" s="2" t="s">
        <v>12186</v>
      </c>
      <c r="F967" s="3" t="s">
        <v>58</v>
      </c>
      <c r="G967" s="3" t="s">
        <v>59</v>
      </c>
      <c r="H967" s="3" t="s">
        <v>58</v>
      </c>
      <c r="I967" s="3" t="s">
        <v>58</v>
      </c>
      <c r="J967" s="3" t="s">
        <v>60</v>
      </c>
      <c r="K967" s="2" t="s">
        <v>12187</v>
      </c>
      <c r="L967" s="2" t="s">
        <v>12188</v>
      </c>
      <c r="M967" s="3" t="s">
        <v>953</v>
      </c>
      <c r="N967" s="2" t="s">
        <v>2831</v>
      </c>
      <c r="O967" s="3" t="s">
        <v>65</v>
      </c>
      <c r="P967" s="3" t="s">
        <v>186</v>
      </c>
      <c r="R967" s="3" t="s">
        <v>68</v>
      </c>
      <c r="S967" s="4">
        <v>7</v>
      </c>
      <c r="T967" s="4">
        <v>7</v>
      </c>
      <c r="U967" s="5" t="s">
        <v>12189</v>
      </c>
      <c r="V967" s="5" t="s">
        <v>12189</v>
      </c>
      <c r="W967" s="5" t="s">
        <v>12072</v>
      </c>
      <c r="X967" s="5" t="s">
        <v>12072</v>
      </c>
      <c r="Y967" s="4">
        <v>490</v>
      </c>
      <c r="Z967" s="4">
        <v>436</v>
      </c>
      <c r="AA967" s="4">
        <v>545</v>
      </c>
      <c r="AB967" s="4">
        <v>3</v>
      </c>
      <c r="AC967" s="4">
        <v>3</v>
      </c>
      <c r="AD967" s="4">
        <v>25</v>
      </c>
      <c r="AE967" s="4">
        <v>32</v>
      </c>
      <c r="AF967" s="4">
        <v>7</v>
      </c>
      <c r="AG967" s="4">
        <v>11</v>
      </c>
      <c r="AH967" s="4">
        <v>6</v>
      </c>
      <c r="AI967" s="4">
        <v>7</v>
      </c>
      <c r="AJ967" s="4">
        <v>16</v>
      </c>
      <c r="AK967" s="4">
        <v>21</v>
      </c>
      <c r="AL967" s="4">
        <v>2</v>
      </c>
      <c r="AM967" s="4">
        <v>2</v>
      </c>
      <c r="AN967" s="4">
        <v>0</v>
      </c>
      <c r="AO967" s="4">
        <v>0</v>
      </c>
      <c r="AP967" s="3" t="s">
        <v>58</v>
      </c>
      <c r="AQ967" s="3" t="s">
        <v>132</v>
      </c>
      <c r="AR967" s="6" t="str">
        <f>HYPERLINK("http://catalog.hathitrust.org/Record/001413257","HathiTrust Record")</f>
        <v>HathiTrust Record</v>
      </c>
      <c r="AS967" s="6" t="str">
        <f>HYPERLINK("https://creighton-primo.hosted.exlibrisgroup.com/primo-explore/search?tab=default_tab&amp;search_scope=EVERYTHING&amp;vid=01CRU&amp;lang=en_US&amp;offset=0&amp;query=any,contains,991002646079702656","Catalog Record")</f>
        <v>Catalog Record</v>
      </c>
      <c r="AT967" s="6" t="str">
        <f>HYPERLINK("http://www.worldcat.org/oclc/385835","WorldCat Record")</f>
        <v>WorldCat Record</v>
      </c>
      <c r="AU967" s="3" t="s">
        <v>12190</v>
      </c>
      <c r="AV967" s="3" t="s">
        <v>12191</v>
      </c>
      <c r="AW967" s="3" t="s">
        <v>12192</v>
      </c>
      <c r="AX967" s="3" t="s">
        <v>12192</v>
      </c>
      <c r="AY967" s="3" t="s">
        <v>12193</v>
      </c>
      <c r="AZ967" s="3" t="s">
        <v>75</v>
      </c>
      <c r="BC967" s="3" t="s">
        <v>12194</v>
      </c>
      <c r="BD967" s="3" t="s">
        <v>12195</v>
      </c>
    </row>
    <row r="968" spans="1:56" ht="39" customHeight="1" x14ac:dyDescent="0.25">
      <c r="A968" s="7" t="s">
        <v>58</v>
      </c>
      <c r="B968" s="2" t="s">
        <v>12196</v>
      </c>
      <c r="C968" s="2" t="s">
        <v>12197</v>
      </c>
      <c r="D968" s="2" t="s">
        <v>12198</v>
      </c>
      <c r="F968" s="3" t="s">
        <v>58</v>
      </c>
      <c r="G968" s="3" t="s">
        <v>59</v>
      </c>
      <c r="H968" s="3" t="s">
        <v>58</v>
      </c>
      <c r="I968" s="3" t="s">
        <v>58</v>
      </c>
      <c r="J968" s="3" t="s">
        <v>60</v>
      </c>
      <c r="K968" s="2" t="s">
        <v>12199</v>
      </c>
      <c r="L968" s="2" t="s">
        <v>12200</v>
      </c>
      <c r="M968" s="3" t="s">
        <v>3356</v>
      </c>
      <c r="O968" s="3" t="s">
        <v>65</v>
      </c>
      <c r="P968" s="3" t="s">
        <v>66</v>
      </c>
      <c r="R968" s="3" t="s">
        <v>68</v>
      </c>
      <c r="S968" s="4">
        <v>1</v>
      </c>
      <c r="T968" s="4">
        <v>1</v>
      </c>
      <c r="U968" s="5" t="s">
        <v>12201</v>
      </c>
      <c r="V968" s="5" t="s">
        <v>12201</v>
      </c>
      <c r="W968" s="5" t="s">
        <v>12072</v>
      </c>
      <c r="X968" s="5" t="s">
        <v>12072</v>
      </c>
      <c r="Y968" s="4">
        <v>221</v>
      </c>
      <c r="Z968" s="4">
        <v>163</v>
      </c>
      <c r="AA968" s="4">
        <v>214</v>
      </c>
      <c r="AB968" s="4">
        <v>3</v>
      </c>
      <c r="AC968" s="4">
        <v>4</v>
      </c>
      <c r="AD968" s="4">
        <v>14</v>
      </c>
      <c r="AE968" s="4">
        <v>24</v>
      </c>
      <c r="AF968" s="4">
        <v>4</v>
      </c>
      <c r="AG968" s="4">
        <v>8</v>
      </c>
      <c r="AH968" s="4">
        <v>5</v>
      </c>
      <c r="AI968" s="4">
        <v>5</v>
      </c>
      <c r="AJ968" s="4">
        <v>11</v>
      </c>
      <c r="AK968" s="4">
        <v>17</v>
      </c>
      <c r="AL968" s="4">
        <v>0</v>
      </c>
      <c r="AM968" s="4">
        <v>1</v>
      </c>
      <c r="AN968" s="4">
        <v>0</v>
      </c>
      <c r="AO968" s="4">
        <v>0</v>
      </c>
      <c r="AP968" s="3" t="s">
        <v>58</v>
      </c>
      <c r="AQ968" s="3" t="s">
        <v>132</v>
      </c>
      <c r="AR968" s="6" t="str">
        <f>HYPERLINK("http://catalog.hathitrust.org/Record/102089739","HathiTrust Record")</f>
        <v>HathiTrust Record</v>
      </c>
      <c r="AS968" s="6" t="str">
        <f>HYPERLINK("https://creighton-primo.hosted.exlibrisgroup.com/primo-explore/search?tab=default_tab&amp;search_scope=EVERYTHING&amp;vid=01CRU&amp;lang=en_US&amp;offset=0&amp;query=any,contains,991004204379702656","Catalog Record")</f>
        <v>Catalog Record</v>
      </c>
      <c r="AT968" s="6" t="str">
        <f>HYPERLINK("http://www.worldcat.org/oclc/2660939","WorldCat Record")</f>
        <v>WorldCat Record</v>
      </c>
      <c r="AU968" s="3" t="s">
        <v>12202</v>
      </c>
      <c r="AV968" s="3" t="s">
        <v>12203</v>
      </c>
      <c r="AW968" s="3" t="s">
        <v>12204</v>
      </c>
      <c r="AX968" s="3" t="s">
        <v>12204</v>
      </c>
      <c r="AY968" s="3" t="s">
        <v>12205</v>
      </c>
      <c r="AZ968" s="3" t="s">
        <v>75</v>
      </c>
      <c r="BC968" s="3" t="s">
        <v>12206</v>
      </c>
      <c r="BD968" s="3" t="s">
        <v>12207</v>
      </c>
    </row>
    <row r="969" spans="1:56" ht="39" customHeight="1" x14ac:dyDescent="0.25">
      <c r="A969" s="7" t="s">
        <v>58</v>
      </c>
      <c r="B969" s="2" t="s">
        <v>12208</v>
      </c>
      <c r="C969" s="2" t="s">
        <v>12209</v>
      </c>
      <c r="D969" s="2" t="s">
        <v>12210</v>
      </c>
      <c r="F969" s="3" t="s">
        <v>58</v>
      </c>
      <c r="G969" s="3" t="s">
        <v>59</v>
      </c>
      <c r="H969" s="3" t="s">
        <v>58</v>
      </c>
      <c r="I969" s="3" t="s">
        <v>132</v>
      </c>
      <c r="J969" s="3" t="s">
        <v>60</v>
      </c>
      <c r="K969" s="2" t="s">
        <v>12211</v>
      </c>
      <c r="L969" s="2" t="s">
        <v>12212</v>
      </c>
      <c r="M969" s="3" t="s">
        <v>83</v>
      </c>
      <c r="O969" s="3" t="s">
        <v>65</v>
      </c>
      <c r="P969" s="3" t="s">
        <v>186</v>
      </c>
      <c r="R969" s="3" t="s">
        <v>68</v>
      </c>
      <c r="S969" s="4">
        <v>3</v>
      </c>
      <c r="T969" s="4">
        <v>3</v>
      </c>
      <c r="U969" s="5" t="s">
        <v>12213</v>
      </c>
      <c r="V969" s="5" t="s">
        <v>12213</v>
      </c>
      <c r="W969" s="5" t="s">
        <v>12214</v>
      </c>
      <c r="X969" s="5" t="s">
        <v>12214</v>
      </c>
      <c r="Y969" s="4">
        <v>287</v>
      </c>
      <c r="Z969" s="4">
        <v>249</v>
      </c>
      <c r="AA969" s="4">
        <v>299</v>
      </c>
      <c r="AB969" s="4">
        <v>2</v>
      </c>
      <c r="AC969" s="4">
        <v>2</v>
      </c>
      <c r="AD969" s="4">
        <v>31</v>
      </c>
      <c r="AE969" s="4">
        <v>32</v>
      </c>
      <c r="AF969" s="4">
        <v>10</v>
      </c>
      <c r="AG969" s="4">
        <v>10</v>
      </c>
      <c r="AH969" s="4">
        <v>8</v>
      </c>
      <c r="AI969" s="4">
        <v>9</v>
      </c>
      <c r="AJ969" s="4">
        <v>24</v>
      </c>
      <c r="AK969" s="4">
        <v>25</v>
      </c>
      <c r="AL969" s="4">
        <v>0</v>
      </c>
      <c r="AM969" s="4">
        <v>0</v>
      </c>
      <c r="AN969" s="4">
        <v>0</v>
      </c>
      <c r="AO969" s="4">
        <v>0</v>
      </c>
      <c r="AP969" s="3" t="s">
        <v>58</v>
      </c>
      <c r="AQ969" s="3" t="s">
        <v>58</v>
      </c>
      <c r="AS969" s="6" t="str">
        <f>HYPERLINK("https://creighton-primo.hosted.exlibrisgroup.com/primo-explore/search?tab=default_tab&amp;search_scope=EVERYTHING&amp;vid=01CRU&amp;lang=en_US&amp;offset=0&amp;query=any,contains,991003905939702656","Catalog Record")</f>
        <v>Catalog Record</v>
      </c>
      <c r="AT969" s="6" t="str">
        <f>HYPERLINK("http://www.worldcat.org/oclc/1838193","WorldCat Record")</f>
        <v>WorldCat Record</v>
      </c>
      <c r="AU969" s="3" t="s">
        <v>12215</v>
      </c>
      <c r="AV969" s="3" t="s">
        <v>12216</v>
      </c>
      <c r="AW969" s="3" t="s">
        <v>12217</v>
      </c>
      <c r="AX969" s="3" t="s">
        <v>12217</v>
      </c>
      <c r="AY969" s="3" t="s">
        <v>12218</v>
      </c>
      <c r="AZ969" s="3" t="s">
        <v>75</v>
      </c>
      <c r="BC969" s="3" t="s">
        <v>12219</v>
      </c>
      <c r="BD969" s="3" t="s">
        <v>12220</v>
      </c>
    </row>
    <row r="970" spans="1:56" ht="39" customHeight="1" x14ac:dyDescent="0.25">
      <c r="A970" s="7" t="s">
        <v>58</v>
      </c>
      <c r="B970" s="2" t="s">
        <v>12221</v>
      </c>
      <c r="C970" s="2" t="s">
        <v>12222</v>
      </c>
      <c r="D970" s="2" t="s">
        <v>12223</v>
      </c>
      <c r="F970" s="3" t="s">
        <v>58</v>
      </c>
      <c r="G970" s="3" t="s">
        <v>59</v>
      </c>
      <c r="H970" s="3" t="s">
        <v>58</v>
      </c>
      <c r="I970" s="3" t="s">
        <v>58</v>
      </c>
      <c r="J970" s="3" t="s">
        <v>60</v>
      </c>
      <c r="K970" s="2" t="s">
        <v>12224</v>
      </c>
      <c r="L970" s="2" t="s">
        <v>1149</v>
      </c>
      <c r="M970" s="3" t="s">
        <v>1150</v>
      </c>
      <c r="O970" s="3" t="s">
        <v>65</v>
      </c>
      <c r="P970" s="3" t="s">
        <v>967</v>
      </c>
      <c r="R970" s="3" t="s">
        <v>68</v>
      </c>
      <c r="S970" s="4">
        <v>1</v>
      </c>
      <c r="T970" s="4">
        <v>1</v>
      </c>
      <c r="U970" s="5" t="s">
        <v>8560</v>
      </c>
      <c r="V970" s="5" t="s">
        <v>8560</v>
      </c>
      <c r="W970" s="5" t="s">
        <v>8560</v>
      </c>
      <c r="X970" s="5" t="s">
        <v>8560</v>
      </c>
      <c r="Y970" s="4">
        <v>398</v>
      </c>
      <c r="Z970" s="4">
        <v>345</v>
      </c>
      <c r="AA970" s="4">
        <v>350</v>
      </c>
      <c r="AB970" s="4">
        <v>1</v>
      </c>
      <c r="AC970" s="4">
        <v>1</v>
      </c>
      <c r="AD970" s="4">
        <v>13</v>
      </c>
      <c r="AE970" s="4">
        <v>13</v>
      </c>
      <c r="AF970" s="4">
        <v>6</v>
      </c>
      <c r="AG970" s="4">
        <v>6</v>
      </c>
      <c r="AH970" s="4">
        <v>3</v>
      </c>
      <c r="AI970" s="4">
        <v>3</v>
      </c>
      <c r="AJ970" s="4">
        <v>6</v>
      </c>
      <c r="AK970" s="4">
        <v>6</v>
      </c>
      <c r="AL970" s="4">
        <v>0</v>
      </c>
      <c r="AM970" s="4">
        <v>0</v>
      </c>
      <c r="AN970" s="4">
        <v>0</v>
      </c>
      <c r="AO970" s="4">
        <v>0</v>
      </c>
      <c r="AP970" s="3" t="s">
        <v>58</v>
      </c>
      <c r="AQ970" s="3" t="s">
        <v>58</v>
      </c>
      <c r="AS970" s="6" t="str">
        <f>HYPERLINK("https://creighton-primo.hosted.exlibrisgroup.com/primo-explore/search?tab=default_tab&amp;search_scope=EVERYTHING&amp;vid=01CRU&amp;lang=en_US&amp;offset=0&amp;query=any,contains,991004780339702656","Catalog Record")</f>
        <v>Catalog Record</v>
      </c>
      <c r="AT970" s="6" t="str">
        <f>HYPERLINK("http://www.worldcat.org/oclc/34919668","WorldCat Record")</f>
        <v>WorldCat Record</v>
      </c>
      <c r="AU970" s="3" t="s">
        <v>12225</v>
      </c>
      <c r="AV970" s="3" t="s">
        <v>12226</v>
      </c>
      <c r="AW970" s="3" t="s">
        <v>12227</v>
      </c>
      <c r="AX970" s="3" t="s">
        <v>12227</v>
      </c>
      <c r="AY970" s="3" t="s">
        <v>12228</v>
      </c>
      <c r="AZ970" s="3" t="s">
        <v>75</v>
      </c>
      <c r="BB970" s="3" t="s">
        <v>12229</v>
      </c>
      <c r="BC970" s="3" t="s">
        <v>12230</v>
      </c>
      <c r="BD970" s="3" t="s">
        <v>12231</v>
      </c>
    </row>
    <row r="971" spans="1:56" ht="39" customHeight="1" x14ac:dyDescent="0.25">
      <c r="A971" s="7" t="s">
        <v>58</v>
      </c>
      <c r="B971" s="2" t="s">
        <v>12232</v>
      </c>
      <c r="C971" s="2" t="s">
        <v>12233</v>
      </c>
      <c r="D971" s="2" t="s">
        <v>12234</v>
      </c>
      <c r="F971" s="3" t="s">
        <v>58</v>
      </c>
      <c r="G971" s="3" t="s">
        <v>59</v>
      </c>
      <c r="H971" s="3" t="s">
        <v>58</v>
      </c>
      <c r="I971" s="3" t="s">
        <v>58</v>
      </c>
      <c r="J971" s="3" t="s">
        <v>60</v>
      </c>
      <c r="K971" s="2" t="s">
        <v>12235</v>
      </c>
      <c r="L971" s="2" t="s">
        <v>12236</v>
      </c>
      <c r="M971" s="3" t="s">
        <v>273</v>
      </c>
      <c r="O971" s="3" t="s">
        <v>65</v>
      </c>
      <c r="P971" s="3" t="s">
        <v>66</v>
      </c>
      <c r="R971" s="3" t="s">
        <v>68</v>
      </c>
      <c r="S971" s="4">
        <v>2</v>
      </c>
      <c r="T971" s="4">
        <v>2</v>
      </c>
      <c r="U971" s="5" t="s">
        <v>12097</v>
      </c>
      <c r="V971" s="5" t="s">
        <v>12097</v>
      </c>
      <c r="W971" s="5" t="s">
        <v>12237</v>
      </c>
      <c r="X971" s="5" t="s">
        <v>12237</v>
      </c>
      <c r="Y971" s="4">
        <v>343</v>
      </c>
      <c r="Z971" s="4">
        <v>254</v>
      </c>
      <c r="AA971" s="4">
        <v>276</v>
      </c>
      <c r="AB971" s="4">
        <v>3</v>
      </c>
      <c r="AC971" s="4">
        <v>3</v>
      </c>
      <c r="AD971" s="4">
        <v>23</v>
      </c>
      <c r="AE971" s="4">
        <v>23</v>
      </c>
      <c r="AF971" s="4">
        <v>7</v>
      </c>
      <c r="AG971" s="4">
        <v>7</v>
      </c>
      <c r="AH971" s="4">
        <v>6</v>
      </c>
      <c r="AI971" s="4">
        <v>6</v>
      </c>
      <c r="AJ971" s="4">
        <v>15</v>
      </c>
      <c r="AK971" s="4">
        <v>15</v>
      </c>
      <c r="AL971" s="4">
        <v>2</v>
      </c>
      <c r="AM971" s="4">
        <v>2</v>
      </c>
      <c r="AN971" s="4">
        <v>0</v>
      </c>
      <c r="AO971" s="4">
        <v>0</v>
      </c>
      <c r="AP971" s="3" t="s">
        <v>58</v>
      </c>
      <c r="AQ971" s="3" t="s">
        <v>58</v>
      </c>
      <c r="AS971" s="6" t="str">
        <f>HYPERLINK("https://creighton-primo.hosted.exlibrisgroup.com/primo-explore/search?tab=default_tab&amp;search_scope=EVERYTHING&amp;vid=01CRU&amp;lang=en_US&amp;offset=0&amp;query=any,contains,991002268939702656","Catalog Record")</f>
        <v>Catalog Record</v>
      </c>
      <c r="AT971" s="6" t="str">
        <f>HYPERLINK("http://www.worldcat.org/oclc/29429649","WorldCat Record")</f>
        <v>WorldCat Record</v>
      </c>
      <c r="AU971" s="3" t="s">
        <v>12238</v>
      </c>
      <c r="AV971" s="3" t="s">
        <v>12239</v>
      </c>
      <c r="AW971" s="3" t="s">
        <v>12240</v>
      </c>
      <c r="AX971" s="3" t="s">
        <v>12240</v>
      </c>
      <c r="AY971" s="3" t="s">
        <v>12241</v>
      </c>
      <c r="AZ971" s="3" t="s">
        <v>75</v>
      </c>
      <c r="BB971" s="3" t="s">
        <v>12242</v>
      </c>
      <c r="BC971" s="3" t="s">
        <v>12243</v>
      </c>
      <c r="BD971" s="3" t="s">
        <v>12244</v>
      </c>
    </row>
    <row r="972" spans="1:56" ht="39" customHeight="1" x14ac:dyDescent="0.25">
      <c r="A972" s="7" t="s">
        <v>58</v>
      </c>
      <c r="B972" s="2" t="s">
        <v>12245</v>
      </c>
      <c r="C972" s="2" t="s">
        <v>12246</v>
      </c>
      <c r="D972" s="2" t="s">
        <v>12247</v>
      </c>
      <c r="F972" s="3" t="s">
        <v>58</v>
      </c>
      <c r="G972" s="3" t="s">
        <v>59</v>
      </c>
      <c r="H972" s="3" t="s">
        <v>58</v>
      </c>
      <c r="I972" s="3" t="s">
        <v>58</v>
      </c>
      <c r="J972" s="3" t="s">
        <v>60</v>
      </c>
      <c r="K972" s="2" t="s">
        <v>12248</v>
      </c>
      <c r="L972" s="2" t="s">
        <v>12249</v>
      </c>
      <c r="M972" s="3" t="s">
        <v>682</v>
      </c>
      <c r="N972" s="2" t="s">
        <v>2831</v>
      </c>
      <c r="O972" s="3" t="s">
        <v>65</v>
      </c>
      <c r="P972" s="3" t="s">
        <v>954</v>
      </c>
      <c r="R972" s="3" t="s">
        <v>68</v>
      </c>
      <c r="S972" s="4">
        <v>2</v>
      </c>
      <c r="T972" s="4">
        <v>2</v>
      </c>
      <c r="U972" s="5" t="s">
        <v>12250</v>
      </c>
      <c r="V972" s="5" t="s">
        <v>12250</v>
      </c>
      <c r="W972" s="5" t="s">
        <v>12072</v>
      </c>
      <c r="X972" s="5" t="s">
        <v>12072</v>
      </c>
      <c r="Y972" s="4">
        <v>185</v>
      </c>
      <c r="Z972" s="4">
        <v>156</v>
      </c>
      <c r="AA972" s="4">
        <v>161</v>
      </c>
      <c r="AB972" s="4">
        <v>4</v>
      </c>
      <c r="AC972" s="4">
        <v>4</v>
      </c>
      <c r="AD972" s="4">
        <v>25</v>
      </c>
      <c r="AE972" s="4">
        <v>25</v>
      </c>
      <c r="AF972" s="4">
        <v>8</v>
      </c>
      <c r="AG972" s="4">
        <v>8</v>
      </c>
      <c r="AH972" s="4">
        <v>5</v>
      </c>
      <c r="AI972" s="4">
        <v>5</v>
      </c>
      <c r="AJ972" s="4">
        <v>20</v>
      </c>
      <c r="AK972" s="4">
        <v>20</v>
      </c>
      <c r="AL972" s="4">
        <v>1</v>
      </c>
      <c r="AM972" s="4">
        <v>1</v>
      </c>
      <c r="AN972" s="4">
        <v>0</v>
      </c>
      <c r="AO972" s="4">
        <v>0</v>
      </c>
      <c r="AP972" s="3" t="s">
        <v>58</v>
      </c>
      <c r="AQ972" s="3" t="s">
        <v>58</v>
      </c>
      <c r="AS972" s="6" t="str">
        <f>HYPERLINK("https://creighton-primo.hosted.exlibrisgroup.com/primo-explore/search?tab=default_tab&amp;search_scope=EVERYTHING&amp;vid=01CRU&amp;lang=en_US&amp;offset=0&amp;query=any,contains,991003107779702656","Catalog Record")</f>
        <v>Catalog Record</v>
      </c>
      <c r="AT972" s="6" t="str">
        <f>HYPERLINK("http://www.worldcat.org/oclc/654980","WorldCat Record")</f>
        <v>WorldCat Record</v>
      </c>
      <c r="AU972" s="3" t="s">
        <v>12251</v>
      </c>
      <c r="AV972" s="3" t="s">
        <v>12252</v>
      </c>
      <c r="AW972" s="3" t="s">
        <v>12253</v>
      </c>
      <c r="AX972" s="3" t="s">
        <v>12253</v>
      </c>
      <c r="AY972" s="3" t="s">
        <v>12254</v>
      </c>
      <c r="AZ972" s="3" t="s">
        <v>75</v>
      </c>
      <c r="BC972" s="3" t="s">
        <v>12255</v>
      </c>
      <c r="BD972" s="3" t="s">
        <v>12256</v>
      </c>
    </row>
    <row r="973" spans="1:56" ht="39" customHeight="1" x14ac:dyDescent="0.25">
      <c r="A973" s="7" t="s">
        <v>58</v>
      </c>
      <c r="B973" s="2" t="s">
        <v>12257</v>
      </c>
      <c r="C973" s="2" t="s">
        <v>12258</v>
      </c>
      <c r="D973" s="2" t="s">
        <v>12259</v>
      </c>
      <c r="F973" s="3" t="s">
        <v>58</v>
      </c>
      <c r="G973" s="3" t="s">
        <v>59</v>
      </c>
      <c r="H973" s="3" t="s">
        <v>58</v>
      </c>
      <c r="I973" s="3" t="s">
        <v>58</v>
      </c>
      <c r="J973" s="3" t="s">
        <v>60</v>
      </c>
      <c r="K973" s="2" t="s">
        <v>12260</v>
      </c>
      <c r="L973" s="2" t="s">
        <v>12261</v>
      </c>
      <c r="M973" s="3" t="s">
        <v>845</v>
      </c>
      <c r="O973" s="3" t="s">
        <v>65</v>
      </c>
      <c r="P973" s="3" t="s">
        <v>304</v>
      </c>
      <c r="Q973" s="2" t="s">
        <v>12262</v>
      </c>
      <c r="R973" s="3" t="s">
        <v>68</v>
      </c>
      <c r="S973" s="4">
        <v>9</v>
      </c>
      <c r="T973" s="4">
        <v>9</v>
      </c>
      <c r="U973" s="5" t="s">
        <v>12263</v>
      </c>
      <c r="V973" s="5" t="s">
        <v>12263</v>
      </c>
      <c r="W973" s="5" t="s">
        <v>1687</v>
      </c>
      <c r="X973" s="5" t="s">
        <v>1687</v>
      </c>
      <c r="Y973" s="4">
        <v>167</v>
      </c>
      <c r="Z973" s="4">
        <v>145</v>
      </c>
      <c r="AA973" s="4">
        <v>169</v>
      </c>
      <c r="AB973" s="4">
        <v>3</v>
      </c>
      <c r="AC973" s="4">
        <v>3</v>
      </c>
      <c r="AD973" s="4">
        <v>24</v>
      </c>
      <c r="AE973" s="4">
        <v>27</v>
      </c>
      <c r="AF973" s="4">
        <v>7</v>
      </c>
      <c r="AG973" s="4">
        <v>8</v>
      </c>
      <c r="AH973" s="4">
        <v>5</v>
      </c>
      <c r="AI973" s="4">
        <v>7</v>
      </c>
      <c r="AJ973" s="4">
        <v>18</v>
      </c>
      <c r="AK973" s="4">
        <v>21</v>
      </c>
      <c r="AL973" s="4">
        <v>1</v>
      </c>
      <c r="AM973" s="4">
        <v>1</v>
      </c>
      <c r="AN973" s="4">
        <v>0</v>
      </c>
      <c r="AO973" s="4">
        <v>0</v>
      </c>
      <c r="AP973" s="3" t="s">
        <v>58</v>
      </c>
      <c r="AQ973" s="3" t="s">
        <v>58</v>
      </c>
      <c r="AS973" s="6" t="str">
        <f>HYPERLINK("https://creighton-primo.hosted.exlibrisgroup.com/primo-explore/search?tab=default_tab&amp;search_scope=EVERYTHING&amp;vid=01CRU&amp;lang=en_US&amp;offset=0&amp;query=any,contains,991000113979702656","Catalog Record")</f>
        <v>Catalog Record</v>
      </c>
      <c r="AT973" s="6" t="str">
        <f>HYPERLINK("http://www.worldcat.org/oclc/48544","WorldCat Record")</f>
        <v>WorldCat Record</v>
      </c>
      <c r="AU973" s="3" t="s">
        <v>12264</v>
      </c>
      <c r="AV973" s="3" t="s">
        <v>12265</v>
      </c>
      <c r="AW973" s="3" t="s">
        <v>12266</v>
      </c>
      <c r="AX973" s="3" t="s">
        <v>12266</v>
      </c>
      <c r="AY973" s="3" t="s">
        <v>12267</v>
      </c>
      <c r="AZ973" s="3" t="s">
        <v>75</v>
      </c>
      <c r="BC973" s="3" t="s">
        <v>12268</v>
      </c>
      <c r="BD973" s="3" t="s">
        <v>12269</v>
      </c>
    </row>
    <row r="974" spans="1:56" ht="39" customHeight="1" x14ac:dyDescent="0.25">
      <c r="A974" s="7" t="s">
        <v>58</v>
      </c>
      <c r="B974" s="2" t="s">
        <v>12270</v>
      </c>
      <c r="C974" s="2" t="s">
        <v>12271</v>
      </c>
      <c r="D974" s="2" t="s">
        <v>12272</v>
      </c>
      <c r="F974" s="3" t="s">
        <v>58</v>
      </c>
      <c r="G974" s="3" t="s">
        <v>59</v>
      </c>
      <c r="H974" s="3" t="s">
        <v>58</v>
      </c>
      <c r="I974" s="3" t="s">
        <v>58</v>
      </c>
      <c r="J974" s="3" t="s">
        <v>60</v>
      </c>
      <c r="K974" s="2" t="s">
        <v>12273</v>
      </c>
      <c r="L974" s="2" t="s">
        <v>12274</v>
      </c>
      <c r="M974" s="3" t="s">
        <v>759</v>
      </c>
      <c r="O974" s="3" t="s">
        <v>65</v>
      </c>
      <c r="P974" s="3" t="s">
        <v>84</v>
      </c>
      <c r="R974" s="3" t="s">
        <v>68</v>
      </c>
      <c r="S974" s="4">
        <v>3</v>
      </c>
      <c r="T974" s="4">
        <v>3</v>
      </c>
      <c r="U974" s="5" t="s">
        <v>12275</v>
      </c>
      <c r="V974" s="5" t="s">
        <v>12275</v>
      </c>
      <c r="W974" s="5" t="s">
        <v>12276</v>
      </c>
      <c r="X974" s="5" t="s">
        <v>12276</v>
      </c>
      <c r="Y974" s="4">
        <v>249</v>
      </c>
      <c r="Z974" s="4">
        <v>191</v>
      </c>
      <c r="AA974" s="4">
        <v>196</v>
      </c>
      <c r="AB974" s="4">
        <v>2</v>
      </c>
      <c r="AC974" s="4">
        <v>2</v>
      </c>
      <c r="AD974" s="4">
        <v>17</v>
      </c>
      <c r="AE974" s="4">
        <v>17</v>
      </c>
      <c r="AF974" s="4">
        <v>5</v>
      </c>
      <c r="AG974" s="4">
        <v>5</v>
      </c>
      <c r="AH974" s="4">
        <v>2</v>
      </c>
      <c r="AI974" s="4">
        <v>2</v>
      </c>
      <c r="AJ974" s="4">
        <v>12</v>
      </c>
      <c r="AK974" s="4">
        <v>12</v>
      </c>
      <c r="AL974" s="4">
        <v>1</v>
      </c>
      <c r="AM974" s="4">
        <v>1</v>
      </c>
      <c r="AN974" s="4">
        <v>0</v>
      </c>
      <c r="AO974" s="4">
        <v>0</v>
      </c>
      <c r="AP974" s="3" t="s">
        <v>58</v>
      </c>
      <c r="AQ974" s="3" t="s">
        <v>58</v>
      </c>
      <c r="AS974" s="6" t="str">
        <f>HYPERLINK("https://creighton-primo.hosted.exlibrisgroup.com/primo-explore/search?tab=default_tab&amp;search_scope=EVERYTHING&amp;vid=01CRU&amp;lang=en_US&amp;offset=0&amp;query=any,contains,991001132129702656","Catalog Record")</f>
        <v>Catalog Record</v>
      </c>
      <c r="AT974" s="6" t="str">
        <f>HYPERLINK("http://www.worldcat.org/oclc/16683977","WorldCat Record")</f>
        <v>WorldCat Record</v>
      </c>
      <c r="AU974" s="3" t="s">
        <v>12277</v>
      </c>
      <c r="AV974" s="3" t="s">
        <v>12278</v>
      </c>
      <c r="AW974" s="3" t="s">
        <v>12279</v>
      </c>
      <c r="AX974" s="3" t="s">
        <v>12279</v>
      </c>
      <c r="AY974" s="3" t="s">
        <v>12280</v>
      </c>
      <c r="AZ974" s="3" t="s">
        <v>75</v>
      </c>
      <c r="BB974" s="3" t="s">
        <v>12281</v>
      </c>
      <c r="BC974" s="3" t="s">
        <v>12282</v>
      </c>
      <c r="BD974" s="3" t="s">
        <v>12283</v>
      </c>
    </row>
    <row r="975" spans="1:56" ht="39" customHeight="1" x14ac:dyDescent="0.25">
      <c r="A975" s="7" t="s">
        <v>58</v>
      </c>
      <c r="B975" s="2" t="s">
        <v>12284</v>
      </c>
      <c r="C975" s="2" t="s">
        <v>12285</v>
      </c>
      <c r="D975" s="2" t="s">
        <v>12286</v>
      </c>
      <c r="F975" s="3" t="s">
        <v>58</v>
      </c>
      <c r="G975" s="3" t="s">
        <v>59</v>
      </c>
      <c r="H975" s="3" t="s">
        <v>58</v>
      </c>
      <c r="I975" s="3" t="s">
        <v>58</v>
      </c>
      <c r="J975" s="3" t="s">
        <v>60</v>
      </c>
      <c r="K975" s="2" t="s">
        <v>1646</v>
      </c>
      <c r="L975" s="2" t="s">
        <v>12287</v>
      </c>
      <c r="M975" s="3" t="s">
        <v>544</v>
      </c>
      <c r="O975" s="3" t="s">
        <v>65</v>
      </c>
      <c r="P975" s="3" t="s">
        <v>201</v>
      </c>
      <c r="R975" s="3" t="s">
        <v>68</v>
      </c>
      <c r="S975" s="4">
        <v>2</v>
      </c>
      <c r="T975" s="4">
        <v>2</v>
      </c>
      <c r="U975" s="5" t="s">
        <v>4203</v>
      </c>
      <c r="V975" s="5" t="s">
        <v>4203</v>
      </c>
      <c r="W975" s="5" t="s">
        <v>4203</v>
      </c>
      <c r="X975" s="5" t="s">
        <v>4203</v>
      </c>
      <c r="Y975" s="4">
        <v>291</v>
      </c>
      <c r="Z975" s="4">
        <v>223</v>
      </c>
      <c r="AA975" s="4">
        <v>258</v>
      </c>
      <c r="AB975" s="4">
        <v>2</v>
      </c>
      <c r="AC975" s="4">
        <v>2</v>
      </c>
      <c r="AD975" s="4">
        <v>22</v>
      </c>
      <c r="AE975" s="4">
        <v>24</v>
      </c>
      <c r="AF975" s="4">
        <v>7</v>
      </c>
      <c r="AG975" s="4">
        <v>7</v>
      </c>
      <c r="AH975" s="4">
        <v>4</v>
      </c>
      <c r="AI975" s="4">
        <v>6</v>
      </c>
      <c r="AJ975" s="4">
        <v>13</v>
      </c>
      <c r="AK975" s="4">
        <v>14</v>
      </c>
      <c r="AL975" s="4">
        <v>1</v>
      </c>
      <c r="AM975" s="4">
        <v>1</v>
      </c>
      <c r="AN975" s="4">
        <v>0</v>
      </c>
      <c r="AO975" s="4">
        <v>0</v>
      </c>
      <c r="AP975" s="3" t="s">
        <v>58</v>
      </c>
      <c r="AQ975" s="3" t="s">
        <v>58</v>
      </c>
      <c r="AS975" s="6" t="str">
        <f>HYPERLINK("https://creighton-primo.hosted.exlibrisgroup.com/primo-explore/search?tab=default_tab&amp;search_scope=EVERYTHING&amp;vid=01CRU&amp;lang=en_US&amp;offset=0&amp;query=any,contains,991003218949702656","Catalog Record")</f>
        <v>Catalog Record</v>
      </c>
      <c r="AT975" s="6" t="str">
        <f>HYPERLINK("http://www.worldcat.org/oclc/40631850","WorldCat Record")</f>
        <v>WorldCat Record</v>
      </c>
      <c r="AU975" s="3" t="s">
        <v>12288</v>
      </c>
      <c r="AV975" s="3" t="s">
        <v>12289</v>
      </c>
      <c r="AW975" s="3" t="s">
        <v>12290</v>
      </c>
      <c r="AX975" s="3" t="s">
        <v>12290</v>
      </c>
      <c r="AY975" s="3" t="s">
        <v>12291</v>
      </c>
      <c r="AZ975" s="3" t="s">
        <v>75</v>
      </c>
      <c r="BB975" s="3" t="s">
        <v>12292</v>
      </c>
      <c r="BC975" s="3" t="s">
        <v>12293</v>
      </c>
      <c r="BD975" s="3" t="s">
        <v>12294</v>
      </c>
    </row>
    <row r="976" spans="1:56" ht="39" customHeight="1" x14ac:dyDescent="0.25">
      <c r="A976" s="7" t="s">
        <v>58</v>
      </c>
      <c r="B976" s="2" t="s">
        <v>12295</v>
      </c>
      <c r="C976" s="2" t="s">
        <v>12296</v>
      </c>
      <c r="D976" s="2" t="s">
        <v>12297</v>
      </c>
      <c r="F976" s="3" t="s">
        <v>58</v>
      </c>
      <c r="G976" s="3" t="s">
        <v>59</v>
      </c>
      <c r="H976" s="3" t="s">
        <v>58</v>
      </c>
      <c r="I976" s="3" t="s">
        <v>58</v>
      </c>
      <c r="J976" s="3" t="s">
        <v>60</v>
      </c>
      <c r="K976" s="2" t="s">
        <v>12298</v>
      </c>
      <c r="L976" s="2" t="s">
        <v>12299</v>
      </c>
      <c r="M976" s="3" t="s">
        <v>389</v>
      </c>
      <c r="O976" s="3" t="s">
        <v>65</v>
      </c>
      <c r="P976" s="3" t="s">
        <v>113</v>
      </c>
      <c r="R976" s="3" t="s">
        <v>68</v>
      </c>
      <c r="S976" s="4">
        <v>2</v>
      </c>
      <c r="T976" s="4">
        <v>2</v>
      </c>
      <c r="U976" s="5" t="s">
        <v>12300</v>
      </c>
      <c r="V976" s="5" t="s">
        <v>12300</v>
      </c>
      <c r="W976" s="5" t="s">
        <v>12072</v>
      </c>
      <c r="X976" s="5" t="s">
        <v>12072</v>
      </c>
      <c r="Y976" s="4">
        <v>265</v>
      </c>
      <c r="Z976" s="4">
        <v>246</v>
      </c>
      <c r="AA976" s="4">
        <v>400</v>
      </c>
      <c r="AB976" s="4">
        <v>5</v>
      </c>
      <c r="AC976" s="4">
        <v>5</v>
      </c>
      <c r="AD976" s="4">
        <v>22</v>
      </c>
      <c r="AE976" s="4">
        <v>33</v>
      </c>
      <c r="AF976" s="4">
        <v>6</v>
      </c>
      <c r="AG976" s="4">
        <v>10</v>
      </c>
      <c r="AH976" s="4">
        <v>5</v>
      </c>
      <c r="AI976" s="4">
        <v>8</v>
      </c>
      <c r="AJ976" s="4">
        <v>13</v>
      </c>
      <c r="AK976" s="4">
        <v>22</v>
      </c>
      <c r="AL976" s="4">
        <v>3</v>
      </c>
      <c r="AM976" s="4">
        <v>3</v>
      </c>
      <c r="AN976" s="4">
        <v>0</v>
      </c>
      <c r="AO976" s="4">
        <v>0</v>
      </c>
      <c r="AP976" s="3" t="s">
        <v>58</v>
      </c>
      <c r="AQ976" s="3" t="s">
        <v>132</v>
      </c>
      <c r="AR976" s="6" t="str">
        <f>HYPERLINK("http://catalog.hathitrust.org/Record/009814451","HathiTrust Record")</f>
        <v>HathiTrust Record</v>
      </c>
      <c r="AS976" s="6" t="str">
        <f>HYPERLINK("https://creighton-primo.hosted.exlibrisgroup.com/primo-explore/search?tab=default_tab&amp;search_scope=EVERYTHING&amp;vid=01CRU&amp;lang=en_US&amp;offset=0&amp;query=any,contains,991003978279702656","Catalog Record")</f>
        <v>Catalog Record</v>
      </c>
      <c r="AT976" s="6" t="str">
        <f>HYPERLINK("http://www.worldcat.org/oclc/2012941","WorldCat Record")</f>
        <v>WorldCat Record</v>
      </c>
      <c r="AU976" s="3" t="s">
        <v>12301</v>
      </c>
      <c r="AV976" s="3" t="s">
        <v>12302</v>
      </c>
      <c r="AW976" s="3" t="s">
        <v>12303</v>
      </c>
      <c r="AX976" s="3" t="s">
        <v>12303</v>
      </c>
      <c r="AY976" s="3" t="s">
        <v>12304</v>
      </c>
      <c r="AZ976" s="3" t="s">
        <v>75</v>
      </c>
      <c r="BC976" s="3" t="s">
        <v>12305</v>
      </c>
      <c r="BD976" s="3" t="s">
        <v>12306</v>
      </c>
    </row>
    <row r="977" spans="1:56" ht="39" customHeight="1" x14ac:dyDescent="0.25">
      <c r="A977" s="7" t="s">
        <v>58</v>
      </c>
      <c r="B977" s="2" t="s">
        <v>12307</v>
      </c>
      <c r="C977" s="2" t="s">
        <v>12308</v>
      </c>
      <c r="D977" s="2" t="s">
        <v>12309</v>
      </c>
      <c r="F977" s="3" t="s">
        <v>58</v>
      </c>
      <c r="G977" s="3" t="s">
        <v>59</v>
      </c>
      <c r="H977" s="3" t="s">
        <v>58</v>
      </c>
      <c r="I977" s="3" t="s">
        <v>58</v>
      </c>
      <c r="J977" s="3" t="s">
        <v>60</v>
      </c>
      <c r="K977" s="2" t="s">
        <v>7506</v>
      </c>
      <c r="L977" s="2" t="s">
        <v>7507</v>
      </c>
      <c r="M977" s="3" t="s">
        <v>361</v>
      </c>
      <c r="O977" s="3" t="s">
        <v>65</v>
      </c>
      <c r="P977" s="3" t="s">
        <v>84</v>
      </c>
      <c r="R977" s="3" t="s">
        <v>68</v>
      </c>
      <c r="S977" s="4">
        <v>4</v>
      </c>
      <c r="T977" s="4">
        <v>4</v>
      </c>
      <c r="U977" s="5" t="s">
        <v>12213</v>
      </c>
      <c r="V977" s="5" t="s">
        <v>12213</v>
      </c>
      <c r="W977" s="5" t="s">
        <v>12072</v>
      </c>
      <c r="X977" s="5" t="s">
        <v>12072</v>
      </c>
      <c r="Y977" s="4">
        <v>454</v>
      </c>
      <c r="Z977" s="4">
        <v>379</v>
      </c>
      <c r="AA977" s="4">
        <v>381</v>
      </c>
      <c r="AB977" s="4">
        <v>3</v>
      </c>
      <c r="AC977" s="4">
        <v>3</v>
      </c>
      <c r="AD977" s="4">
        <v>26</v>
      </c>
      <c r="AE977" s="4">
        <v>26</v>
      </c>
      <c r="AF977" s="4">
        <v>8</v>
      </c>
      <c r="AG977" s="4">
        <v>8</v>
      </c>
      <c r="AH977" s="4">
        <v>8</v>
      </c>
      <c r="AI977" s="4">
        <v>8</v>
      </c>
      <c r="AJ977" s="4">
        <v>16</v>
      </c>
      <c r="AK977" s="4">
        <v>16</v>
      </c>
      <c r="AL977" s="4">
        <v>2</v>
      </c>
      <c r="AM977" s="4">
        <v>2</v>
      </c>
      <c r="AN977" s="4">
        <v>0</v>
      </c>
      <c r="AO977" s="4">
        <v>0</v>
      </c>
      <c r="AP977" s="3" t="s">
        <v>58</v>
      </c>
      <c r="AQ977" s="3" t="s">
        <v>132</v>
      </c>
      <c r="AR977" s="6" t="str">
        <f>HYPERLINK("http://catalog.hathitrust.org/Record/000236288","HathiTrust Record")</f>
        <v>HathiTrust Record</v>
      </c>
      <c r="AS977" s="6" t="str">
        <f>HYPERLINK("https://creighton-primo.hosted.exlibrisgroup.com/primo-explore/search?tab=default_tab&amp;search_scope=EVERYTHING&amp;vid=01CRU&amp;lang=en_US&amp;offset=0&amp;query=any,contains,991000125369702656","Catalog Record")</f>
        <v>Catalog Record</v>
      </c>
      <c r="AT977" s="6" t="str">
        <f>HYPERLINK("http://www.worldcat.org/oclc/9082725","WorldCat Record")</f>
        <v>WorldCat Record</v>
      </c>
      <c r="AU977" s="3" t="s">
        <v>12310</v>
      </c>
      <c r="AV977" s="3" t="s">
        <v>12311</v>
      </c>
      <c r="AW977" s="3" t="s">
        <v>12312</v>
      </c>
      <c r="AX977" s="3" t="s">
        <v>12312</v>
      </c>
      <c r="AY977" s="3" t="s">
        <v>12313</v>
      </c>
      <c r="AZ977" s="3" t="s">
        <v>75</v>
      </c>
      <c r="BB977" s="3" t="s">
        <v>12314</v>
      </c>
      <c r="BC977" s="3" t="s">
        <v>12315</v>
      </c>
      <c r="BD977" s="3" t="s">
        <v>12316</v>
      </c>
    </row>
    <row r="978" spans="1:56" ht="39" customHeight="1" x14ac:dyDescent="0.25">
      <c r="A978" s="7" t="s">
        <v>58</v>
      </c>
      <c r="B978" s="2" t="s">
        <v>12317</v>
      </c>
      <c r="C978" s="2" t="s">
        <v>12318</v>
      </c>
      <c r="D978" s="2" t="s">
        <v>12319</v>
      </c>
      <c r="F978" s="3" t="s">
        <v>58</v>
      </c>
      <c r="G978" s="3" t="s">
        <v>59</v>
      </c>
      <c r="H978" s="3" t="s">
        <v>58</v>
      </c>
      <c r="I978" s="3" t="s">
        <v>58</v>
      </c>
      <c r="J978" s="3" t="s">
        <v>60</v>
      </c>
      <c r="K978" s="2" t="s">
        <v>8884</v>
      </c>
      <c r="L978" s="2" t="s">
        <v>12320</v>
      </c>
      <c r="M978" s="3" t="s">
        <v>871</v>
      </c>
      <c r="O978" s="3" t="s">
        <v>65</v>
      </c>
      <c r="P978" s="3" t="s">
        <v>186</v>
      </c>
      <c r="R978" s="3" t="s">
        <v>68</v>
      </c>
      <c r="S978" s="4">
        <v>8</v>
      </c>
      <c r="T978" s="4">
        <v>8</v>
      </c>
      <c r="U978" s="5" t="s">
        <v>12097</v>
      </c>
      <c r="V978" s="5" t="s">
        <v>12097</v>
      </c>
      <c r="W978" s="5" t="s">
        <v>12072</v>
      </c>
      <c r="X978" s="5" t="s">
        <v>12072</v>
      </c>
      <c r="Y978" s="4">
        <v>429</v>
      </c>
      <c r="Z978" s="4">
        <v>403</v>
      </c>
      <c r="AA978" s="4">
        <v>429</v>
      </c>
      <c r="AB978" s="4">
        <v>3</v>
      </c>
      <c r="AC978" s="4">
        <v>3</v>
      </c>
      <c r="AD978" s="4">
        <v>36</v>
      </c>
      <c r="AE978" s="4">
        <v>36</v>
      </c>
      <c r="AF978" s="4">
        <v>15</v>
      </c>
      <c r="AG978" s="4">
        <v>15</v>
      </c>
      <c r="AH978" s="4">
        <v>8</v>
      </c>
      <c r="AI978" s="4">
        <v>8</v>
      </c>
      <c r="AJ978" s="4">
        <v>25</v>
      </c>
      <c r="AK978" s="4">
        <v>25</v>
      </c>
      <c r="AL978" s="4">
        <v>1</v>
      </c>
      <c r="AM978" s="4">
        <v>1</v>
      </c>
      <c r="AN978" s="4">
        <v>0</v>
      </c>
      <c r="AO978" s="4">
        <v>0</v>
      </c>
      <c r="AP978" s="3" t="s">
        <v>58</v>
      </c>
      <c r="AQ978" s="3" t="s">
        <v>132</v>
      </c>
      <c r="AR978" s="6" t="str">
        <f>HYPERLINK("http://catalog.hathitrust.org/Record/006018533","HathiTrust Record")</f>
        <v>HathiTrust Record</v>
      </c>
      <c r="AS978" s="6" t="str">
        <f>HYPERLINK("https://creighton-primo.hosted.exlibrisgroup.com/primo-explore/search?tab=default_tab&amp;search_scope=EVERYTHING&amp;vid=01CRU&amp;lang=en_US&amp;offset=0&amp;query=any,contains,991003107809702656","Catalog Record")</f>
        <v>Catalog Record</v>
      </c>
      <c r="AT978" s="6" t="str">
        <f>HYPERLINK("http://www.worldcat.org/oclc/654989","WorldCat Record")</f>
        <v>WorldCat Record</v>
      </c>
      <c r="AU978" s="3" t="s">
        <v>12321</v>
      </c>
      <c r="AV978" s="3" t="s">
        <v>12322</v>
      </c>
      <c r="AW978" s="3" t="s">
        <v>12323</v>
      </c>
      <c r="AX978" s="3" t="s">
        <v>12323</v>
      </c>
      <c r="AY978" s="3" t="s">
        <v>12324</v>
      </c>
      <c r="AZ978" s="3" t="s">
        <v>75</v>
      </c>
      <c r="BC978" s="3" t="s">
        <v>12325</v>
      </c>
      <c r="BD978" s="3" t="s">
        <v>12326</v>
      </c>
    </row>
    <row r="979" spans="1:56" ht="39" customHeight="1" x14ac:dyDescent="0.25">
      <c r="A979" s="7" t="s">
        <v>58</v>
      </c>
      <c r="B979" s="2" t="s">
        <v>12327</v>
      </c>
      <c r="C979" s="2" t="s">
        <v>12328</v>
      </c>
      <c r="D979" s="2" t="s">
        <v>12329</v>
      </c>
      <c r="F979" s="3" t="s">
        <v>58</v>
      </c>
      <c r="G979" s="3" t="s">
        <v>59</v>
      </c>
      <c r="H979" s="3" t="s">
        <v>58</v>
      </c>
      <c r="I979" s="3" t="s">
        <v>58</v>
      </c>
      <c r="J979" s="3" t="s">
        <v>60</v>
      </c>
      <c r="K979" s="2" t="s">
        <v>8884</v>
      </c>
      <c r="L979" s="2" t="s">
        <v>12330</v>
      </c>
      <c r="M979" s="3" t="s">
        <v>389</v>
      </c>
      <c r="O979" s="3" t="s">
        <v>65</v>
      </c>
      <c r="P979" s="3" t="s">
        <v>186</v>
      </c>
      <c r="Q979" s="2" t="s">
        <v>12331</v>
      </c>
      <c r="R979" s="3" t="s">
        <v>68</v>
      </c>
      <c r="S979" s="4">
        <v>1</v>
      </c>
      <c r="T979" s="4">
        <v>1</v>
      </c>
      <c r="U979" s="5" t="s">
        <v>5135</v>
      </c>
      <c r="V979" s="5" t="s">
        <v>5135</v>
      </c>
      <c r="W979" s="5" t="s">
        <v>12072</v>
      </c>
      <c r="X979" s="5" t="s">
        <v>12072</v>
      </c>
      <c r="Y979" s="4">
        <v>279</v>
      </c>
      <c r="Z979" s="4">
        <v>240</v>
      </c>
      <c r="AA979" s="4">
        <v>251</v>
      </c>
      <c r="AB979" s="4">
        <v>2</v>
      </c>
      <c r="AC979" s="4">
        <v>2</v>
      </c>
      <c r="AD979" s="4">
        <v>28</v>
      </c>
      <c r="AE979" s="4">
        <v>28</v>
      </c>
      <c r="AF979" s="4">
        <v>9</v>
      </c>
      <c r="AG979" s="4">
        <v>9</v>
      </c>
      <c r="AH979" s="4">
        <v>8</v>
      </c>
      <c r="AI979" s="4">
        <v>8</v>
      </c>
      <c r="AJ979" s="4">
        <v>22</v>
      </c>
      <c r="AK979" s="4">
        <v>22</v>
      </c>
      <c r="AL979" s="4">
        <v>0</v>
      </c>
      <c r="AM979" s="4">
        <v>0</v>
      </c>
      <c r="AN979" s="4">
        <v>0</v>
      </c>
      <c r="AO979" s="4">
        <v>0</v>
      </c>
      <c r="AP979" s="3" t="s">
        <v>58</v>
      </c>
      <c r="AQ979" s="3" t="s">
        <v>132</v>
      </c>
      <c r="AR979" s="6" t="str">
        <f>HYPERLINK("http://catalog.hathitrust.org/Record/007853608","HathiTrust Record")</f>
        <v>HathiTrust Record</v>
      </c>
      <c r="AS979" s="6" t="str">
        <f>HYPERLINK("https://creighton-primo.hosted.exlibrisgroup.com/primo-explore/search?tab=default_tab&amp;search_scope=EVERYTHING&amp;vid=01CRU&amp;lang=en_US&amp;offset=0&amp;query=any,contains,991000377379702656","Catalog Record")</f>
        <v>Catalog Record</v>
      </c>
      <c r="AT979" s="6" t="str">
        <f>HYPERLINK("http://www.worldcat.org/oclc/72289","WorldCat Record")</f>
        <v>WorldCat Record</v>
      </c>
      <c r="AU979" s="3" t="s">
        <v>12332</v>
      </c>
      <c r="AV979" s="3" t="s">
        <v>12333</v>
      </c>
      <c r="AW979" s="3" t="s">
        <v>12334</v>
      </c>
      <c r="AX979" s="3" t="s">
        <v>12334</v>
      </c>
      <c r="AY979" s="3" t="s">
        <v>12335</v>
      </c>
      <c r="AZ979" s="3" t="s">
        <v>75</v>
      </c>
      <c r="BC979" s="3" t="s">
        <v>12336</v>
      </c>
      <c r="BD979" s="3" t="s">
        <v>12337</v>
      </c>
    </row>
    <row r="980" spans="1:56" ht="39" customHeight="1" x14ac:dyDescent="0.25">
      <c r="A980" s="7" t="s">
        <v>58</v>
      </c>
      <c r="B980" s="2" t="s">
        <v>12338</v>
      </c>
      <c r="C980" s="2" t="s">
        <v>12339</v>
      </c>
      <c r="D980" s="2" t="s">
        <v>12340</v>
      </c>
      <c r="F980" s="3" t="s">
        <v>58</v>
      </c>
      <c r="G980" s="3" t="s">
        <v>59</v>
      </c>
      <c r="H980" s="3" t="s">
        <v>58</v>
      </c>
      <c r="I980" s="3" t="s">
        <v>58</v>
      </c>
      <c r="J980" s="3" t="s">
        <v>60</v>
      </c>
      <c r="K980" s="2" t="s">
        <v>8884</v>
      </c>
      <c r="L980" s="2" t="s">
        <v>1620</v>
      </c>
      <c r="M980" s="3" t="s">
        <v>1621</v>
      </c>
      <c r="O980" s="3" t="s">
        <v>65</v>
      </c>
      <c r="P980" s="3" t="s">
        <v>186</v>
      </c>
      <c r="R980" s="3" t="s">
        <v>68</v>
      </c>
      <c r="S980" s="4">
        <v>6</v>
      </c>
      <c r="T980" s="4">
        <v>6</v>
      </c>
      <c r="U980" s="5" t="s">
        <v>12341</v>
      </c>
      <c r="V980" s="5" t="s">
        <v>12341</v>
      </c>
      <c r="W980" s="5" t="s">
        <v>12072</v>
      </c>
      <c r="X980" s="5" t="s">
        <v>12072</v>
      </c>
      <c r="Y980" s="4">
        <v>385</v>
      </c>
      <c r="Z980" s="4">
        <v>352</v>
      </c>
      <c r="AA980" s="4">
        <v>439</v>
      </c>
      <c r="AB980" s="4">
        <v>5</v>
      </c>
      <c r="AC980" s="4">
        <v>6</v>
      </c>
      <c r="AD980" s="4">
        <v>35</v>
      </c>
      <c r="AE980" s="4">
        <v>38</v>
      </c>
      <c r="AF980" s="4">
        <v>12</v>
      </c>
      <c r="AG980" s="4">
        <v>13</v>
      </c>
      <c r="AH980" s="4">
        <v>7</v>
      </c>
      <c r="AI980" s="4">
        <v>8</v>
      </c>
      <c r="AJ980" s="4">
        <v>27</v>
      </c>
      <c r="AK980" s="4">
        <v>27</v>
      </c>
      <c r="AL980" s="4">
        <v>2</v>
      </c>
      <c r="AM980" s="4">
        <v>3</v>
      </c>
      <c r="AN980" s="4">
        <v>0</v>
      </c>
      <c r="AO980" s="4">
        <v>0</v>
      </c>
      <c r="AP980" s="3" t="s">
        <v>58</v>
      </c>
      <c r="AQ980" s="3" t="s">
        <v>58</v>
      </c>
      <c r="AS980" s="6" t="str">
        <f>HYPERLINK("https://creighton-primo.hosted.exlibrisgroup.com/primo-explore/search?tab=default_tab&amp;search_scope=EVERYTHING&amp;vid=01CRU&amp;lang=en_US&amp;offset=0&amp;query=any,contains,991003385269702656","Catalog Record")</f>
        <v>Catalog Record</v>
      </c>
      <c r="AT980" s="6" t="str">
        <f>HYPERLINK("http://www.worldcat.org/oclc/922410","WorldCat Record")</f>
        <v>WorldCat Record</v>
      </c>
      <c r="AU980" s="3" t="s">
        <v>12342</v>
      </c>
      <c r="AV980" s="3" t="s">
        <v>12343</v>
      </c>
      <c r="AW980" s="3" t="s">
        <v>12344</v>
      </c>
      <c r="AX980" s="3" t="s">
        <v>12344</v>
      </c>
      <c r="AY980" s="3" t="s">
        <v>12345</v>
      </c>
      <c r="AZ980" s="3" t="s">
        <v>75</v>
      </c>
      <c r="BB980" s="3" t="s">
        <v>12346</v>
      </c>
      <c r="BC980" s="3" t="s">
        <v>12347</v>
      </c>
      <c r="BD980" s="3" t="s">
        <v>12348</v>
      </c>
    </row>
    <row r="981" spans="1:56" ht="39" customHeight="1" x14ac:dyDescent="0.25">
      <c r="A981" s="7" t="s">
        <v>58</v>
      </c>
      <c r="B981" s="2" t="s">
        <v>12349</v>
      </c>
      <c r="C981" s="2" t="s">
        <v>12350</v>
      </c>
      <c r="D981" s="2" t="s">
        <v>12351</v>
      </c>
      <c r="F981" s="3" t="s">
        <v>58</v>
      </c>
      <c r="G981" s="3" t="s">
        <v>59</v>
      </c>
      <c r="H981" s="3" t="s">
        <v>58</v>
      </c>
      <c r="I981" s="3" t="s">
        <v>58</v>
      </c>
      <c r="J981" s="3" t="s">
        <v>60</v>
      </c>
      <c r="K981" s="2" t="s">
        <v>12352</v>
      </c>
      <c r="L981" s="2" t="s">
        <v>12353</v>
      </c>
      <c r="M981" s="3" t="s">
        <v>361</v>
      </c>
      <c r="O981" s="3" t="s">
        <v>65</v>
      </c>
      <c r="P981" s="3" t="s">
        <v>186</v>
      </c>
      <c r="R981" s="3" t="s">
        <v>68</v>
      </c>
      <c r="S981" s="4">
        <v>5</v>
      </c>
      <c r="T981" s="4">
        <v>5</v>
      </c>
      <c r="U981" s="5" t="s">
        <v>9294</v>
      </c>
      <c r="V981" s="5" t="s">
        <v>9294</v>
      </c>
      <c r="W981" s="5" t="s">
        <v>1582</v>
      </c>
      <c r="X981" s="5" t="s">
        <v>1582</v>
      </c>
      <c r="Y981" s="4">
        <v>88</v>
      </c>
      <c r="Z981" s="4">
        <v>79</v>
      </c>
      <c r="AA981" s="4">
        <v>79</v>
      </c>
      <c r="AB981" s="4">
        <v>2</v>
      </c>
      <c r="AC981" s="4">
        <v>2</v>
      </c>
      <c r="AD981" s="4">
        <v>13</v>
      </c>
      <c r="AE981" s="4">
        <v>13</v>
      </c>
      <c r="AF981" s="4">
        <v>3</v>
      </c>
      <c r="AG981" s="4">
        <v>3</v>
      </c>
      <c r="AH981" s="4">
        <v>5</v>
      </c>
      <c r="AI981" s="4">
        <v>5</v>
      </c>
      <c r="AJ981" s="4">
        <v>10</v>
      </c>
      <c r="AK981" s="4">
        <v>10</v>
      </c>
      <c r="AL981" s="4">
        <v>0</v>
      </c>
      <c r="AM981" s="4">
        <v>0</v>
      </c>
      <c r="AN981" s="4">
        <v>0</v>
      </c>
      <c r="AO981" s="4">
        <v>0</v>
      </c>
      <c r="AP981" s="3" t="s">
        <v>58</v>
      </c>
      <c r="AQ981" s="3" t="s">
        <v>58</v>
      </c>
      <c r="AS981" s="6" t="str">
        <f>HYPERLINK("https://creighton-primo.hosted.exlibrisgroup.com/primo-explore/search?tab=default_tab&amp;search_scope=EVERYTHING&amp;vid=01CRU&amp;lang=en_US&amp;offset=0&amp;query=any,contains,991000153749702656","Catalog Record")</f>
        <v>Catalog Record</v>
      </c>
      <c r="AT981" s="6" t="str">
        <f>HYPERLINK("http://www.worldcat.org/oclc/9219290","WorldCat Record")</f>
        <v>WorldCat Record</v>
      </c>
      <c r="AU981" s="3" t="s">
        <v>12354</v>
      </c>
      <c r="AV981" s="3" t="s">
        <v>12355</v>
      </c>
      <c r="AW981" s="3" t="s">
        <v>12356</v>
      </c>
      <c r="AX981" s="3" t="s">
        <v>12356</v>
      </c>
      <c r="AY981" s="3" t="s">
        <v>12357</v>
      </c>
      <c r="AZ981" s="3" t="s">
        <v>75</v>
      </c>
      <c r="BB981" s="3" t="s">
        <v>12358</v>
      </c>
      <c r="BC981" s="3" t="s">
        <v>12359</v>
      </c>
      <c r="BD981" s="3" t="s">
        <v>12360</v>
      </c>
    </row>
    <row r="982" spans="1:56" ht="39" customHeight="1" x14ac:dyDescent="0.25">
      <c r="A982" s="7" t="s">
        <v>58</v>
      </c>
      <c r="B982" s="2" t="s">
        <v>12361</v>
      </c>
      <c r="C982" s="2" t="s">
        <v>12362</v>
      </c>
      <c r="D982" s="2" t="s">
        <v>12363</v>
      </c>
      <c r="F982" s="3" t="s">
        <v>58</v>
      </c>
      <c r="G982" s="3" t="s">
        <v>59</v>
      </c>
      <c r="H982" s="3" t="s">
        <v>58</v>
      </c>
      <c r="I982" s="3" t="s">
        <v>58</v>
      </c>
      <c r="J982" s="3" t="s">
        <v>60</v>
      </c>
      <c r="K982" s="2" t="s">
        <v>7592</v>
      </c>
      <c r="L982" s="2" t="s">
        <v>12364</v>
      </c>
      <c r="M982" s="3" t="s">
        <v>2067</v>
      </c>
      <c r="O982" s="3" t="s">
        <v>65</v>
      </c>
      <c r="P982" s="3" t="s">
        <v>954</v>
      </c>
      <c r="R982" s="3" t="s">
        <v>68</v>
      </c>
      <c r="S982" s="4">
        <v>1</v>
      </c>
      <c r="T982" s="4">
        <v>1</v>
      </c>
      <c r="U982" s="5" t="s">
        <v>12213</v>
      </c>
      <c r="V982" s="5" t="s">
        <v>12213</v>
      </c>
      <c r="W982" s="5" t="s">
        <v>12072</v>
      </c>
      <c r="X982" s="5" t="s">
        <v>12072</v>
      </c>
      <c r="Y982" s="4">
        <v>263</v>
      </c>
      <c r="Z982" s="4">
        <v>253</v>
      </c>
      <c r="AA982" s="4">
        <v>348</v>
      </c>
      <c r="AB982" s="4">
        <v>1</v>
      </c>
      <c r="AC982" s="4">
        <v>1</v>
      </c>
      <c r="AD982" s="4">
        <v>20</v>
      </c>
      <c r="AE982" s="4">
        <v>24</v>
      </c>
      <c r="AF982" s="4">
        <v>8</v>
      </c>
      <c r="AG982" s="4">
        <v>8</v>
      </c>
      <c r="AH982" s="4">
        <v>4</v>
      </c>
      <c r="AI982" s="4">
        <v>6</v>
      </c>
      <c r="AJ982" s="4">
        <v>13</v>
      </c>
      <c r="AK982" s="4">
        <v>17</v>
      </c>
      <c r="AL982" s="4">
        <v>0</v>
      </c>
      <c r="AM982" s="4">
        <v>0</v>
      </c>
      <c r="AN982" s="4">
        <v>0</v>
      </c>
      <c r="AO982" s="4">
        <v>0</v>
      </c>
      <c r="AP982" s="3" t="s">
        <v>58</v>
      </c>
      <c r="AQ982" s="3" t="s">
        <v>58</v>
      </c>
      <c r="AS982" s="6" t="str">
        <f>HYPERLINK("https://creighton-primo.hosted.exlibrisgroup.com/primo-explore/search?tab=default_tab&amp;search_scope=EVERYTHING&amp;vid=01CRU&amp;lang=en_US&amp;offset=0&amp;query=any,contains,991003743769702656","Catalog Record")</f>
        <v>Catalog Record</v>
      </c>
      <c r="AT982" s="6" t="str">
        <f>HYPERLINK("http://www.worldcat.org/oclc/1411791","WorldCat Record")</f>
        <v>WorldCat Record</v>
      </c>
      <c r="AU982" s="3" t="s">
        <v>12365</v>
      </c>
      <c r="AV982" s="3" t="s">
        <v>12366</v>
      </c>
      <c r="AW982" s="3" t="s">
        <v>12367</v>
      </c>
      <c r="AX982" s="3" t="s">
        <v>12367</v>
      </c>
      <c r="AY982" s="3" t="s">
        <v>12368</v>
      </c>
      <c r="AZ982" s="3" t="s">
        <v>75</v>
      </c>
      <c r="BC982" s="3" t="s">
        <v>12369</v>
      </c>
      <c r="BD982" s="3" t="s">
        <v>12370</v>
      </c>
    </row>
    <row r="983" spans="1:56" ht="39" customHeight="1" x14ac:dyDescent="0.25">
      <c r="A983" s="7" t="s">
        <v>58</v>
      </c>
      <c r="B983" s="2" t="s">
        <v>12371</v>
      </c>
      <c r="C983" s="2" t="s">
        <v>12372</v>
      </c>
      <c r="D983" s="2" t="s">
        <v>12373</v>
      </c>
      <c r="F983" s="3" t="s">
        <v>58</v>
      </c>
      <c r="G983" s="3" t="s">
        <v>59</v>
      </c>
      <c r="H983" s="3" t="s">
        <v>58</v>
      </c>
      <c r="I983" s="3" t="s">
        <v>58</v>
      </c>
      <c r="J983" s="3" t="s">
        <v>60</v>
      </c>
      <c r="K983" s="2" t="s">
        <v>12374</v>
      </c>
      <c r="L983" s="2" t="s">
        <v>12375</v>
      </c>
      <c r="M983" s="3" t="s">
        <v>966</v>
      </c>
      <c r="N983" s="2" t="s">
        <v>476</v>
      </c>
      <c r="O983" s="3" t="s">
        <v>65</v>
      </c>
      <c r="P983" s="3" t="s">
        <v>1724</v>
      </c>
      <c r="R983" s="3" t="s">
        <v>68</v>
      </c>
      <c r="S983" s="4">
        <v>7</v>
      </c>
      <c r="T983" s="4">
        <v>7</v>
      </c>
      <c r="U983" s="5" t="s">
        <v>12376</v>
      </c>
      <c r="V983" s="5" t="s">
        <v>12376</v>
      </c>
      <c r="W983" s="5" t="s">
        <v>115</v>
      </c>
      <c r="X983" s="5" t="s">
        <v>115</v>
      </c>
      <c r="Y983" s="4">
        <v>630</v>
      </c>
      <c r="Z983" s="4">
        <v>543</v>
      </c>
      <c r="AA983" s="4">
        <v>862</v>
      </c>
      <c r="AB983" s="4">
        <v>7</v>
      </c>
      <c r="AC983" s="4">
        <v>7</v>
      </c>
      <c r="AD983" s="4">
        <v>41</v>
      </c>
      <c r="AE983" s="4">
        <v>42</v>
      </c>
      <c r="AF983" s="4">
        <v>19</v>
      </c>
      <c r="AG983" s="4">
        <v>20</v>
      </c>
      <c r="AH983" s="4">
        <v>8</v>
      </c>
      <c r="AI983" s="4">
        <v>8</v>
      </c>
      <c r="AJ983" s="4">
        <v>22</v>
      </c>
      <c r="AK983" s="4">
        <v>22</v>
      </c>
      <c r="AL983" s="4">
        <v>5</v>
      </c>
      <c r="AM983" s="4">
        <v>5</v>
      </c>
      <c r="AN983" s="4">
        <v>0</v>
      </c>
      <c r="AO983" s="4">
        <v>0</v>
      </c>
      <c r="AP983" s="3" t="s">
        <v>58</v>
      </c>
      <c r="AQ983" s="3" t="s">
        <v>58</v>
      </c>
      <c r="AS983" s="6" t="str">
        <f>HYPERLINK("https://creighton-primo.hosted.exlibrisgroup.com/primo-explore/search?tab=default_tab&amp;search_scope=EVERYTHING&amp;vid=01CRU&amp;lang=en_US&amp;offset=0&amp;query=any,contains,991002141599702656","Catalog Record")</f>
        <v>Catalog Record</v>
      </c>
      <c r="AT983" s="6" t="str">
        <f>HYPERLINK("http://www.worldcat.org/oclc/27432428","WorldCat Record")</f>
        <v>WorldCat Record</v>
      </c>
      <c r="AU983" s="3" t="s">
        <v>12377</v>
      </c>
      <c r="AV983" s="3" t="s">
        <v>12378</v>
      </c>
      <c r="AW983" s="3" t="s">
        <v>12379</v>
      </c>
      <c r="AX983" s="3" t="s">
        <v>12379</v>
      </c>
      <c r="AY983" s="3" t="s">
        <v>12380</v>
      </c>
      <c r="AZ983" s="3" t="s">
        <v>75</v>
      </c>
      <c r="BB983" s="3" t="s">
        <v>12381</v>
      </c>
      <c r="BC983" s="3" t="s">
        <v>12382</v>
      </c>
      <c r="BD983" s="3" t="s">
        <v>12383</v>
      </c>
    </row>
    <row r="984" spans="1:56" ht="39" customHeight="1" x14ac:dyDescent="0.25">
      <c r="A984" s="7" t="s">
        <v>58</v>
      </c>
      <c r="B984" s="2" t="s">
        <v>12384</v>
      </c>
      <c r="C984" s="2" t="s">
        <v>12385</v>
      </c>
      <c r="D984" s="2" t="s">
        <v>12386</v>
      </c>
      <c r="F984" s="3" t="s">
        <v>58</v>
      </c>
      <c r="G984" s="3" t="s">
        <v>59</v>
      </c>
      <c r="H984" s="3" t="s">
        <v>58</v>
      </c>
      <c r="I984" s="3" t="s">
        <v>58</v>
      </c>
      <c r="J984" s="3" t="s">
        <v>60</v>
      </c>
      <c r="K984" s="2" t="s">
        <v>12387</v>
      </c>
      <c r="L984" s="2" t="s">
        <v>12388</v>
      </c>
      <c r="M984" s="3" t="s">
        <v>4281</v>
      </c>
      <c r="O984" s="3" t="s">
        <v>65</v>
      </c>
      <c r="P984" s="3" t="s">
        <v>186</v>
      </c>
      <c r="Q984" s="2" t="s">
        <v>12389</v>
      </c>
      <c r="R984" s="3" t="s">
        <v>68</v>
      </c>
      <c r="S984" s="4">
        <v>2</v>
      </c>
      <c r="T984" s="4">
        <v>2</v>
      </c>
      <c r="U984" s="5" t="s">
        <v>9625</v>
      </c>
      <c r="V984" s="5" t="s">
        <v>9625</v>
      </c>
      <c r="W984" s="5" t="s">
        <v>9625</v>
      </c>
      <c r="X984" s="5" t="s">
        <v>9625</v>
      </c>
      <c r="Y984" s="4">
        <v>37</v>
      </c>
      <c r="Z984" s="4">
        <v>34</v>
      </c>
      <c r="AA984" s="4">
        <v>179</v>
      </c>
      <c r="AB984" s="4">
        <v>1</v>
      </c>
      <c r="AC984" s="4">
        <v>2</v>
      </c>
      <c r="AD984" s="4">
        <v>2</v>
      </c>
      <c r="AE984" s="4">
        <v>14</v>
      </c>
      <c r="AF984" s="4">
        <v>2</v>
      </c>
      <c r="AG984" s="4">
        <v>7</v>
      </c>
      <c r="AH984" s="4">
        <v>0</v>
      </c>
      <c r="AI984" s="4">
        <v>2</v>
      </c>
      <c r="AJ984" s="4">
        <v>0</v>
      </c>
      <c r="AK984" s="4">
        <v>7</v>
      </c>
      <c r="AL984" s="4">
        <v>0</v>
      </c>
      <c r="AM984" s="4">
        <v>1</v>
      </c>
      <c r="AN984" s="4">
        <v>0</v>
      </c>
      <c r="AO984" s="4">
        <v>0</v>
      </c>
      <c r="AP984" s="3" t="s">
        <v>58</v>
      </c>
      <c r="AQ984" s="3" t="s">
        <v>58</v>
      </c>
      <c r="AS984" s="6" t="str">
        <f>HYPERLINK("https://creighton-primo.hosted.exlibrisgroup.com/primo-explore/search?tab=default_tab&amp;search_scope=EVERYTHING&amp;vid=01CRU&amp;lang=en_US&amp;offset=0&amp;query=any,contains,991005041689702656","Catalog Record")</f>
        <v>Catalog Record</v>
      </c>
      <c r="AT984" s="6" t="str">
        <f>HYPERLINK("http://www.worldcat.org/oclc/57178076","WorldCat Record")</f>
        <v>WorldCat Record</v>
      </c>
      <c r="AU984" s="3" t="s">
        <v>12390</v>
      </c>
      <c r="AV984" s="3" t="s">
        <v>12391</v>
      </c>
      <c r="AW984" s="3" t="s">
        <v>12392</v>
      </c>
      <c r="AX984" s="3" t="s">
        <v>12392</v>
      </c>
      <c r="AY984" s="3" t="s">
        <v>12393</v>
      </c>
      <c r="AZ984" s="3" t="s">
        <v>75</v>
      </c>
      <c r="BB984" s="3" t="s">
        <v>12394</v>
      </c>
      <c r="BC984" s="3" t="s">
        <v>12395</v>
      </c>
      <c r="BD984" s="3" t="s">
        <v>12396</v>
      </c>
    </row>
    <row r="985" spans="1:56" ht="39" customHeight="1" x14ac:dyDescent="0.25">
      <c r="A985" s="7" t="s">
        <v>58</v>
      </c>
      <c r="B985" s="2" t="s">
        <v>12397</v>
      </c>
      <c r="C985" s="2" t="s">
        <v>12398</v>
      </c>
      <c r="D985" s="2" t="s">
        <v>12399</v>
      </c>
      <c r="F985" s="3" t="s">
        <v>58</v>
      </c>
      <c r="G985" s="3" t="s">
        <v>59</v>
      </c>
      <c r="H985" s="3" t="s">
        <v>58</v>
      </c>
      <c r="I985" s="3" t="s">
        <v>58</v>
      </c>
      <c r="J985" s="3" t="s">
        <v>60</v>
      </c>
      <c r="K985" s="2" t="s">
        <v>12400</v>
      </c>
      <c r="L985" s="2" t="s">
        <v>12401</v>
      </c>
      <c r="M985" s="3" t="s">
        <v>185</v>
      </c>
      <c r="O985" s="3" t="s">
        <v>65</v>
      </c>
      <c r="P985" s="3" t="s">
        <v>84</v>
      </c>
      <c r="R985" s="3" t="s">
        <v>68</v>
      </c>
      <c r="S985" s="4">
        <v>3</v>
      </c>
      <c r="T985" s="4">
        <v>3</v>
      </c>
      <c r="U985" s="5" t="s">
        <v>12097</v>
      </c>
      <c r="V985" s="5" t="s">
        <v>12097</v>
      </c>
      <c r="W985" s="5" t="s">
        <v>2345</v>
      </c>
      <c r="X985" s="5" t="s">
        <v>2345</v>
      </c>
      <c r="Y985" s="4">
        <v>176</v>
      </c>
      <c r="Z985" s="4">
        <v>147</v>
      </c>
      <c r="AA985" s="4">
        <v>147</v>
      </c>
      <c r="AB985" s="4">
        <v>3</v>
      </c>
      <c r="AC985" s="4">
        <v>3</v>
      </c>
      <c r="AD985" s="4">
        <v>16</v>
      </c>
      <c r="AE985" s="4">
        <v>16</v>
      </c>
      <c r="AF985" s="4">
        <v>5</v>
      </c>
      <c r="AG985" s="4">
        <v>5</v>
      </c>
      <c r="AH985" s="4">
        <v>3</v>
      </c>
      <c r="AI985" s="4">
        <v>3</v>
      </c>
      <c r="AJ985" s="4">
        <v>12</v>
      </c>
      <c r="AK985" s="4">
        <v>12</v>
      </c>
      <c r="AL985" s="4">
        <v>2</v>
      </c>
      <c r="AM985" s="4">
        <v>2</v>
      </c>
      <c r="AN985" s="4">
        <v>0</v>
      </c>
      <c r="AO985" s="4">
        <v>0</v>
      </c>
      <c r="AP985" s="3" t="s">
        <v>58</v>
      </c>
      <c r="AQ985" s="3" t="s">
        <v>58</v>
      </c>
      <c r="AS985" s="6" t="str">
        <f>HYPERLINK("https://creighton-primo.hosted.exlibrisgroup.com/primo-explore/search?tab=default_tab&amp;search_scope=EVERYTHING&amp;vid=01CRU&amp;lang=en_US&amp;offset=0&amp;query=any,contains,991003531199702656","Catalog Record")</f>
        <v>Catalog Record</v>
      </c>
      <c r="AT985" s="6" t="str">
        <f>HYPERLINK("http://www.worldcat.org/oclc/43751897","WorldCat Record")</f>
        <v>WorldCat Record</v>
      </c>
      <c r="AU985" s="3" t="s">
        <v>12402</v>
      </c>
      <c r="AV985" s="3" t="s">
        <v>12403</v>
      </c>
      <c r="AW985" s="3" t="s">
        <v>12404</v>
      </c>
      <c r="AX985" s="3" t="s">
        <v>12404</v>
      </c>
      <c r="AY985" s="3" t="s">
        <v>12405</v>
      </c>
      <c r="AZ985" s="3" t="s">
        <v>75</v>
      </c>
      <c r="BB985" s="3" t="s">
        <v>12406</v>
      </c>
      <c r="BC985" s="3" t="s">
        <v>12407</v>
      </c>
      <c r="BD985" s="3" t="s">
        <v>12408</v>
      </c>
    </row>
    <row r="986" spans="1:56" ht="39" customHeight="1" x14ac:dyDescent="0.25">
      <c r="A986" s="7" t="s">
        <v>58</v>
      </c>
      <c r="B986" s="2" t="s">
        <v>12409</v>
      </c>
      <c r="C986" s="2" t="s">
        <v>12410</v>
      </c>
      <c r="D986" s="2" t="s">
        <v>12411</v>
      </c>
      <c r="F986" s="3" t="s">
        <v>58</v>
      </c>
      <c r="G986" s="3" t="s">
        <v>59</v>
      </c>
      <c r="H986" s="3" t="s">
        <v>58</v>
      </c>
      <c r="I986" s="3" t="s">
        <v>58</v>
      </c>
      <c r="J986" s="3" t="s">
        <v>60</v>
      </c>
      <c r="K986" s="2" t="s">
        <v>12412</v>
      </c>
      <c r="L986" s="2" t="s">
        <v>7507</v>
      </c>
      <c r="M986" s="3" t="s">
        <v>361</v>
      </c>
      <c r="N986" s="2" t="s">
        <v>476</v>
      </c>
      <c r="O986" s="3" t="s">
        <v>65</v>
      </c>
      <c r="P986" s="3" t="s">
        <v>84</v>
      </c>
      <c r="Q986" s="2" t="s">
        <v>12413</v>
      </c>
      <c r="R986" s="3" t="s">
        <v>68</v>
      </c>
      <c r="S986" s="4">
        <v>4</v>
      </c>
      <c r="T986" s="4">
        <v>4</v>
      </c>
      <c r="U986" s="5" t="s">
        <v>9294</v>
      </c>
      <c r="V986" s="5" t="s">
        <v>9294</v>
      </c>
      <c r="W986" s="5" t="s">
        <v>12072</v>
      </c>
      <c r="X986" s="5" t="s">
        <v>12072</v>
      </c>
      <c r="Y986" s="4">
        <v>171</v>
      </c>
      <c r="Z986" s="4">
        <v>155</v>
      </c>
      <c r="AA986" s="4">
        <v>155</v>
      </c>
      <c r="AB986" s="4">
        <v>1</v>
      </c>
      <c r="AC986" s="4">
        <v>1</v>
      </c>
      <c r="AD986" s="4">
        <v>4</v>
      </c>
      <c r="AE986" s="4">
        <v>4</v>
      </c>
      <c r="AF986" s="4">
        <v>2</v>
      </c>
      <c r="AG986" s="4">
        <v>2</v>
      </c>
      <c r="AH986" s="4">
        <v>0</v>
      </c>
      <c r="AI986" s="4">
        <v>0</v>
      </c>
      <c r="AJ986" s="4">
        <v>2</v>
      </c>
      <c r="AK986" s="4">
        <v>2</v>
      </c>
      <c r="AL986" s="4">
        <v>0</v>
      </c>
      <c r="AM986" s="4">
        <v>0</v>
      </c>
      <c r="AN986" s="4">
        <v>0</v>
      </c>
      <c r="AO986" s="4">
        <v>0</v>
      </c>
      <c r="AP986" s="3" t="s">
        <v>58</v>
      </c>
      <c r="AQ986" s="3" t="s">
        <v>58</v>
      </c>
      <c r="AS986" s="6" t="str">
        <f>HYPERLINK("https://creighton-primo.hosted.exlibrisgroup.com/primo-explore/search?tab=default_tab&amp;search_scope=EVERYTHING&amp;vid=01CRU&amp;lang=en_US&amp;offset=0&amp;query=any,contains,991000129419702656","Catalog Record")</f>
        <v>Catalog Record</v>
      </c>
      <c r="AT986" s="6" t="str">
        <f>HYPERLINK("http://www.worldcat.org/oclc/9110444","WorldCat Record")</f>
        <v>WorldCat Record</v>
      </c>
      <c r="AU986" s="3" t="s">
        <v>12414</v>
      </c>
      <c r="AV986" s="3" t="s">
        <v>12415</v>
      </c>
      <c r="AW986" s="3" t="s">
        <v>12416</v>
      </c>
      <c r="AX986" s="3" t="s">
        <v>12416</v>
      </c>
      <c r="AY986" s="3" t="s">
        <v>12417</v>
      </c>
      <c r="AZ986" s="3" t="s">
        <v>75</v>
      </c>
      <c r="BB986" s="3" t="s">
        <v>12418</v>
      </c>
      <c r="BC986" s="3" t="s">
        <v>12419</v>
      </c>
      <c r="BD986" s="3" t="s">
        <v>12420</v>
      </c>
    </row>
    <row r="987" spans="1:56" ht="39" customHeight="1" x14ac:dyDescent="0.25">
      <c r="A987" s="7" t="s">
        <v>58</v>
      </c>
      <c r="B987" s="2" t="s">
        <v>12421</v>
      </c>
      <c r="C987" s="2" t="s">
        <v>12422</v>
      </c>
      <c r="D987" s="2" t="s">
        <v>12423</v>
      </c>
      <c r="F987" s="3" t="s">
        <v>58</v>
      </c>
      <c r="G987" s="3" t="s">
        <v>59</v>
      </c>
      <c r="H987" s="3" t="s">
        <v>58</v>
      </c>
      <c r="I987" s="3" t="s">
        <v>58</v>
      </c>
      <c r="J987" s="3" t="s">
        <v>60</v>
      </c>
      <c r="K987" s="2" t="s">
        <v>12424</v>
      </c>
      <c r="L987" s="2" t="s">
        <v>12425</v>
      </c>
      <c r="M987" s="3" t="s">
        <v>1302</v>
      </c>
      <c r="O987" s="3" t="s">
        <v>65</v>
      </c>
      <c r="P987" s="3" t="s">
        <v>967</v>
      </c>
      <c r="R987" s="3" t="s">
        <v>68</v>
      </c>
      <c r="S987" s="4">
        <v>9</v>
      </c>
      <c r="T987" s="4">
        <v>9</v>
      </c>
      <c r="U987" s="5" t="s">
        <v>12426</v>
      </c>
      <c r="V987" s="5" t="s">
        <v>12426</v>
      </c>
      <c r="W987" s="5" t="s">
        <v>12427</v>
      </c>
      <c r="X987" s="5" t="s">
        <v>12427</v>
      </c>
      <c r="Y987" s="4">
        <v>316</v>
      </c>
      <c r="Z987" s="4">
        <v>249</v>
      </c>
      <c r="AA987" s="4">
        <v>533</v>
      </c>
      <c r="AB987" s="4">
        <v>3</v>
      </c>
      <c r="AC987" s="4">
        <v>5</v>
      </c>
      <c r="AD987" s="4">
        <v>20</v>
      </c>
      <c r="AE987" s="4">
        <v>28</v>
      </c>
      <c r="AF987" s="4">
        <v>7</v>
      </c>
      <c r="AG987" s="4">
        <v>10</v>
      </c>
      <c r="AH987" s="4">
        <v>6</v>
      </c>
      <c r="AI987" s="4">
        <v>8</v>
      </c>
      <c r="AJ987" s="4">
        <v>12</v>
      </c>
      <c r="AK987" s="4">
        <v>15</v>
      </c>
      <c r="AL987" s="4">
        <v>2</v>
      </c>
      <c r="AM987" s="4">
        <v>4</v>
      </c>
      <c r="AN987" s="4">
        <v>0</v>
      </c>
      <c r="AO987" s="4">
        <v>0</v>
      </c>
      <c r="AP987" s="3" t="s">
        <v>58</v>
      </c>
      <c r="AQ987" s="3" t="s">
        <v>58</v>
      </c>
      <c r="AS987" s="6" t="str">
        <f>HYPERLINK("https://creighton-primo.hosted.exlibrisgroup.com/primo-explore/search?tab=default_tab&amp;search_scope=EVERYTHING&amp;vid=01CRU&amp;lang=en_US&amp;offset=0&amp;query=any,contains,991004145839702656","Catalog Record")</f>
        <v>Catalog Record</v>
      </c>
      <c r="AT987" s="6" t="str">
        <f>HYPERLINK("http://www.worldcat.org/oclc/49935970","WorldCat Record")</f>
        <v>WorldCat Record</v>
      </c>
      <c r="AU987" s="3" t="s">
        <v>12428</v>
      </c>
      <c r="AV987" s="3" t="s">
        <v>12429</v>
      </c>
      <c r="AW987" s="3" t="s">
        <v>12430</v>
      </c>
      <c r="AX987" s="3" t="s">
        <v>12430</v>
      </c>
      <c r="AY987" s="3" t="s">
        <v>12431</v>
      </c>
      <c r="AZ987" s="3" t="s">
        <v>75</v>
      </c>
      <c r="BB987" s="3" t="s">
        <v>12432</v>
      </c>
      <c r="BC987" s="3" t="s">
        <v>12433</v>
      </c>
      <c r="BD987" s="3" t="s">
        <v>12434</v>
      </c>
    </row>
    <row r="988" spans="1:56" ht="39" customHeight="1" x14ac:dyDescent="0.25">
      <c r="A988" s="7" t="s">
        <v>58</v>
      </c>
      <c r="B988" s="2" t="s">
        <v>12435</v>
      </c>
      <c r="C988" s="2" t="s">
        <v>12436</v>
      </c>
      <c r="D988" s="2" t="s">
        <v>12437</v>
      </c>
      <c r="F988" s="3" t="s">
        <v>58</v>
      </c>
      <c r="G988" s="3" t="s">
        <v>59</v>
      </c>
      <c r="H988" s="3" t="s">
        <v>58</v>
      </c>
      <c r="I988" s="3" t="s">
        <v>58</v>
      </c>
      <c r="J988" s="3" t="s">
        <v>60</v>
      </c>
      <c r="L988" s="2" t="s">
        <v>12438</v>
      </c>
      <c r="M988" s="3" t="s">
        <v>3920</v>
      </c>
      <c r="O988" s="3" t="s">
        <v>65</v>
      </c>
      <c r="P988" s="3" t="s">
        <v>186</v>
      </c>
      <c r="R988" s="3" t="s">
        <v>68</v>
      </c>
      <c r="S988" s="4">
        <v>4</v>
      </c>
      <c r="T988" s="4">
        <v>4</v>
      </c>
      <c r="U988" s="5" t="s">
        <v>12439</v>
      </c>
      <c r="V988" s="5" t="s">
        <v>12439</v>
      </c>
      <c r="W988" s="5" t="s">
        <v>7768</v>
      </c>
      <c r="X988" s="5" t="s">
        <v>7768</v>
      </c>
      <c r="Y988" s="4">
        <v>181</v>
      </c>
      <c r="Z988" s="4">
        <v>140</v>
      </c>
      <c r="AA988" s="4">
        <v>145</v>
      </c>
      <c r="AB988" s="4">
        <v>2</v>
      </c>
      <c r="AC988" s="4">
        <v>2</v>
      </c>
      <c r="AD988" s="4">
        <v>18</v>
      </c>
      <c r="AE988" s="4">
        <v>18</v>
      </c>
      <c r="AF988" s="4">
        <v>5</v>
      </c>
      <c r="AG988" s="4">
        <v>5</v>
      </c>
      <c r="AH988" s="4">
        <v>6</v>
      </c>
      <c r="AI988" s="4">
        <v>6</v>
      </c>
      <c r="AJ988" s="4">
        <v>14</v>
      </c>
      <c r="AK988" s="4">
        <v>14</v>
      </c>
      <c r="AL988" s="4">
        <v>0</v>
      </c>
      <c r="AM988" s="4">
        <v>0</v>
      </c>
      <c r="AN988" s="4">
        <v>0</v>
      </c>
      <c r="AO988" s="4">
        <v>0</v>
      </c>
      <c r="AP988" s="3" t="s">
        <v>58</v>
      </c>
      <c r="AQ988" s="3" t="s">
        <v>58</v>
      </c>
      <c r="AS988" s="6" t="str">
        <f>HYPERLINK("https://creighton-primo.hosted.exlibrisgroup.com/primo-explore/search?tab=default_tab&amp;search_scope=EVERYTHING&amp;vid=01CRU&amp;lang=en_US&amp;offset=0&amp;query=any,contains,991004709719702656","Catalog Record")</f>
        <v>Catalog Record</v>
      </c>
      <c r="AT988" s="6" t="str">
        <f>HYPERLINK("http://www.worldcat.org/oclc/58919841","WorldCat Record")</f>
        <v>WorldCat Record</v>
      </c>
      <c r="AU988" s="3" t="s">
        <v>12440</v>
      </c>
      <c r="AV988" s="3" t="s">
        <v>12441</v>
      </c>
      <c r="AW988" s="3" t="s">
        <v>12442</v>
      </c>
      <c r="AX988" s="3" t="s">
        <v>12442</v>
      </c>
      <c r="AY988" s="3" t="s">
        <v>12443</v>
      </c>
      <c r="AZ988" s="3" t="s">
        <v>75</v>
      </c>
      <c r="BB988" s="3" t="s">
        <v>12444</v>
      </c>
      <c r="BC988" s="3" t="s">
        <v>12445</v>
      </c>
      <c r="BD988" s="3" t="s">
        <v>12446</v>
      </c>
    </row>
    <row r="989" spans="1:56" ht="39" customHeight="1" x14ac:dyDescent="0.25">
      <c r="A989" s="7" t="s">
        <v>58</v>
      </c>
      <c r="B989" s="2" t="s">
        <v>12447</v>
      </c>
      <c r="C989" s="2" t="s">
        <v>12448</v>
      </c>
      <c r="D989" s="2" t="s">
        <v>12449</v>
      </c>
      <c r="F989" s="3" t="s">
        <v>58</v>
      </c>
      <c r="G989" s="3" t="s">
        <v>59</v>
      </c>
      <c r="H989" s="3" t="s">
        <v>58</v>
      </c>
      <c r="I989" s="3" t="s">
        <v>58</v>
      </c>
      <c r="J989" s="3" t="s">
        <v>60</v>
      </c>
      <c r="L989" s="2" t="s">
        <v>12450</v>
      </c>
      <c r="M989" s="3" t="s">
        <v>682</v>
      </c>
      <c r="O989" s="3" t="s">
        <v>65</v>
      </c>
      <c r="P989" s="3" t="s">
        <v>304</v>
      </c>
      <c r="Q989" s="2" t="s">
        <v>12451</v>
      </c>
      <c r="R989" s="3" t="s">
        <v>68</v>
      </c>
      <c r="S989" s="4">
        <v>3</v>
      </c>
      <c r="T989" s="4">
        <v>3</v>
      </c>
      <c r="U989" s="5" t="s">
        <v>6455</v>
      </c>
      <c r="V989" s="5" t="s">
        <v>6455</v>
      </c>
      <c r="W989" s="5" t="s">
        <v>12072</v>
      </c>
      <c r="X989" s="5" t="s">
        <v>12072</v>
      </c>
      <c r="Y989" s="4">
        <v>299</v>
      </c>
      <c r="Z989" s="4">
        <v>261</v>
      </c>
      <c r="AA989" s="4">
        <v>262</v>
      </c>
      <c r="AB989" s="4">
        <v>1</v>
      </c>
      <c r="AC989" s="4">
        <v>1</v>
      </c>
      <c r="AD989" s="4">
        <v>32</v>
      </c>
      <c r="AE989" s="4">
        <v>32</v>
      </c>
      <c r="AF989" s="4">
        <v>11</v>
      </c>
      <c r="AG989" s="4">
        <v>11</v>
      </c>
      <c r="AH989" s="4">
        <v>9</v>
      </c>
      <c r="AI989" s="4">
        <v>9</v>
      </c>
      <c r="AJ989" s="4">
        <v>24</v>
      </c>
      <c r="AK989" s="4">
        <v>24</v>
      </c>
      <c r="AL989" s="4">
        <v>0</v>
      </c>
      <c r="AM989" s="4">
        <v>0</v>
      </c>
      <c r="AN989" s="4">
        <v>0</v>
      </c>
      <c r="AO989" s="4">
        <v>0</v>
      </c>
      <c r="AP989" s="3" t="s">
        <v>58</v>
      </c>
      <c r="AQ989" s="3" t="s">
        <v>58</v>
      </c>
      <c r="AR989" s="6" t="str">
        <f>HYPERLINK("http://catalog.hathitrust.org/Record/102300201","HathiTrust Record")</f>
        <v>HathiTrust Record</v>
      </c>
      <c r="AS989" s="6" t="str">
        <f>HYPERLINK("https://creighton-primo.hosted.exlibrisgroup.com/primo-explore/search?tab=default_tab&amp;search_scope=EVERYTHING&amp;vid=01CRU&amp;lang=en_US&amp;offset=0&amp;query=any,contains,991003173629702656","Catalog Record")</f>
        <v>Catalog Record</v>
      </c>
      <c r="AT989" s="6" t="str">
        <f>HYPERLINK("http://www.worldcat.org/oclc/708967","WorldCat Record")</f>
        <v>WorldCat Record</v>
      </c>
      <c r="AU989" s="3" t="s">
        <v>12452</v>
      </c>
      <c r="AV989" s="3" t="s">
        <v>12453</v>
      </c>
      <c r="AW989" s="3" t="s">
        <v>12454</v>
      </c>
      <c r="AX989" s="3" t="s">
        <v>12454</v>
      </c>
      <c r="AY989" s="3" t="s">
        <v>12455</v>
      </c>
      <c r="AZ989" s="3" t="s">
        <v>75</v>
      </c>
      <c r="BC989" s="3" t="s">
        <v>12456</v>
      </c>
      <c r="BD989" s="3" t="s">
        <v>12457</v>
      </c>
    </row>
    <row r="990" spans="1:56" ht="39" customHeight="1" x14ac:dyDescent="0.25">
      <c r="A990" s="7" t="s">
        <v>58</v>
      </c>
      <c r="B990" s="2" t="s">
        <v>12458</v>
      </c>
      <c r="C990" s="2" t="s">
        <v>12459</v>
      </c>
      <c r="D990" s="2" t="s">
        <v>12460</v>
      </c>
      <c r="F990" s="3" t="s">
        <v>58</v>
      </c>
      <c r="G990" s="3" t="s">
        <v>59</v>
      </c>
      <c r="H990" s="3" t="s">
        <v>58</v>
      </c>
      <c r="I990" s="3" t="s">
        <v>58</v>
      </c>
      <c r="J990" s="3" t="s">
        <v>60</v>
      </c>
      <c r="K990" s="2" t="s">
        <v>12461</v>
      </c>
      <c r="L990" s="2" t="s">
        <v>12462</v>
      </c>
      <c r="M990" s="3" t="s">
        <v>953</v>
      </c>
      <c r="O990" s="3" t="s">
        <v>65</v>
      </c>
      <c r="P990" s="3" t="s">
        <v>954</v>
      </c>
      <c r="R990" s="3" t="s">
        <v>68</v>
      </c>
      <c r="S990" s="4">
        <v>2</v>
      </c>
      <c r="T990" s="4">
        <v>2</v>
      </c>
      <c r="U990" s="5" t="s">
        <v>12463</v>
      </c>
      <c r="V990" s="5" t="s">
        <v>12463</v>
      </c>
      <c r="W990" s="5" t="s">
        <v>12072</v>
      </c>
      <c r="X990" s="5" t="s">
        <v>12072</v>
      </c>
      <c r="Y990" s="4">
        <v>185</v>
      </c>
      <c r="Z990" s="4">
        <v>162</v>
      </c>
      <c r="AA990" s="4">
        <v>174</v>
      </c>
      <c r="AB990" s="4">
        <v>2</v>
      </c>
      <c r="AC990" s="4">
        <v>3</v>
      </c>
      <c r="AD990" s="4">
        <v>27</v>
      </c>
      <c r="AE990" s="4">
        <v>28</v>
      </c>
      <c r="AF990" s="4">
        <v>9</v>
      </c>
      <c r="AG990" s="4">
        <v>10</v>
      </c>
      <c r="AH990" s="4">
        <v>8</v>
      </c>
      <c r="AI990" s="4">
        <v>8</v>
      </c>
      <c r="AJ990" s="4">
        <v>21</v>
      </c>
      <c r="AK990" s="4">
        <v>22</v>
      </c>
      <c r="AL990" s="4">
        <v>0</v>
      </c>
      <c r="AM990" s="4">
        <v>0</v>
      </c>
      <c r="AN990" s="4">
        <v>0</v>
      </c>
      <c r="AO990" s="4">
        <v>0</v>
      </c>
      <c r="AP990" s="3" t="s">
        <v>58</v>
      </c>
      <c r="AQ990" s="3" t="s">
        <v>132</v>
      </c>
      <c r="AR990" s="6" t="str">
        <f>HYPERLINK("http://catalog.hathitrust.org/Record/101765786","HathiTrust Record")</f>
        <v>HathiTrust Record</v>
      </c>
      <c r="AS990" s="6" t="str">
        <f>HYPERLINK("https://creighton-primo.hosted.exlibrisgroup.com/primo-explore/search?tab=default_tab&amp;search_scope=EVERYTHING&amp;vid=01CRU&amp;lang=en_US&amp;offset=0&amp;query=any,contains,991003108329702656","Catalog Record")</f>
        <v>Catalog Record</v>
      </c>
      <c r="AT990" s="6" t="str">
        <f>HYPERLINK("http://www.worldcat.org/oclc/655437","WorldCat Record")</f>
        <v>WorldCat Record</v>
      </c>
      <c r="AU990" s="3" t="s">
        <v>12464</v>
      </c>
      <c r="AV990" s="3" t="s">
        <v>12465</v>
      </c>
      <c r="AW990" s="3" t="s">
        <v>12466</v>
      </c>
      <c r="AX990" s="3" t="s">
        <v>12466</v>
      </c>
      <c r="AY990" s="3" t="s">
        <v>12467</v>
      </c>
      <c r="AZ990" s="3" t="s">
        <v>75</v>
      </c>
      <c r="BC990" s="3" t="s">
        <v>12468</v>
      </c>
      <c r="BD990" s="3" t="s">
        <v>12469</v>
      </c>
    </row>
    <row r="991" spans="1:56" ht="39" customHeight="1" x14ac:dyDescent="0.25">
      <c r="A991" s="7" t="s">
        <v>58</v>
      </c>
      <c r="B991" s="2" t="s">
        <v>12470</v>
      </c>
      <c r="C991" s="2" t="s">
        <v>12471</v>
      </c>
      <c r="D991" s="2" t="s">
        <v>12472</v>
      </c>
      <c r="F991" s="3" t="s">
        <v>58</v>
      </c>
      <c r="G991" s="3" t="s">
        <v>59</v>
      </c>
      <c r="H991" s="3" t="s">
        <v>58</v>
      </c>
      <c r="I991" s="3" t="s">
        <v>58</v>
      </c>
      <c r="J991" s="3" t="s">
        <v>60</v>
      </c>
      <c r="K991" s="2" t="s">
        <v>12473</v>
      </c>
      <c r="L991" s="2" t="s">
        <v>12474</v>
      </c>
      <c r="M991" s="3" t="s">
        <v>682</v>
      </c>
      <c r="O991" s="3" t="s">
        <v>65</v>
      </c>
      <c r="P991" s="3" t="s">
        <v>954</v>
      </c>
      <c r="R991" s="3" t="s">
        <v>68</v>
      </c>
      <c r="S991" s="4">
        <v>5</v>
      </c>
      <c r="T991" s="4">
        <v>5</v>
      </c>
      <c r="U991" s="5" t="s">
        <v>12463</v>
      </c>
      <c r="V991" s="5" t="s">
        <v>12463</v>
      </c>
      <c r="W991" s="5" t="s">
        <v>4348</v>
      </c>
      <c r="X991" s="5" t="s">
        <v>4348</v>
      </c>
      <c r="Y991" s="4">
        <v>146</v>
      </c>
      <c r="Z991" s="4">
        <v>126</v>
      </c>
      <c r="AA991" s="4">
        <v>126</v>
      </c>
      <c r="AB991" s="4">
        <v>1</v>
      </c>
      <c r="AC991" s="4">
        <v>1</v>
      </c>
      <c r="AD991" s="4">
        <v>13</v>
      </c>
      <c r="AE991" s="4">
        <v>13</v>
      </c>
      <c r="AF991" s="4">
        <v>1</v>
      </c>
      <c r="AG991" s="4">
        <v>1</v>
      </c>
      <c r="AH991" s="4">
        <v>4</v>
      </c>
      <c r="AI991" s="4">
        <v>4</v>
      </c>
      <c r="AJ991" s="4">
        <v>11</v>
      </c>
      <c r="AK991" s="4">
        <v>11</v>
      </c>
      <c r="AL991" s="4">
        <v>0</v>
      </c>
      <c r="AM991" s="4">
        <v>0</v>
      </c>
      <c r="AN991" s="4">
        <v>0</v>
      </c>
      <c r="AO991" s="4">
        <v>0</v>
      </c>
      <c r="AP991" s="3" t="s">
        <v>58</v>
      </c>
      <c r="AQ991" s="3" t="s">
        <v>58</v>
      </c>
      <c r="AS991" s="6" t="str">
        <f>HYPERLINK("https://creighton-primo.hosted.exlibrisgroup.com/primo-explore/search?tab=default_tab&amp;search_scope=EVERYTHING&amp;vid=01CRU&amp;lang=en_US&amp;offset=0&amp;query=any,contains,991003108269702656","Catalog Record")</f>
        <v>Catalog Record</v>
      </c>
      <c r="AT991" s="6" t="str">
        <f>HYPERLINK("http://www.worldcat.org/oclc/655424","WorldCat Record")</f>
        <v>WorldCat Record</v>
      </c>
      <c r="AU991" s="3" t="s">
        <v>12475</v>
      </c>
      <c r="AV991" s="3" t="s">
        <v>12476</v>
      </c>
      <c r="AW991" s="3" t="s">
        <v>12477</v>
      </c>
      <c r="AX991" s="3" t="s">
        <v>12477</v>
      </c>
      <c r="AY991" s="3" t="s">
        <v>12478</v>
      </c>
      <c r="AZ991" s="3" t="s">
        <v>75</v>
      </c>
      <c r="BC991" s="3" t="s">
        <v>12479</v>
      </c>
      <c r="BD991" s="3" t="s">
        <v>12480</v>
      </c>
    </row>
    <row r="992" spans="1:56" ht="39" customHeight="1" x14ac:dyDescent="0.25">
      <c r="A992" s="7" t="s">
        <v>58</v>
      </c>
      <c r="B992" s="2" t="s">
        <v>12481</v>
      </c>
      <c r="C992" s="2" t="s">
        <v>12482</v>
      </c>
      <c r="D992" s="2" t="s">
        <v>12483</v>
      </c>
      <c r="F992" s="3" t="s">
        <v>58</v>
      </c>
      <c r="G992" s="3" t="s">
        <v>59</v>
      </c>
      <c r="H992" s="3" t="s">
        <v>58</v>
      </c>
      <c r="I992" s="3" t="s">
        <v>58</v>
      </c>
      <c r="J992" s="3" t="s">
        <v>60</v>
      </c>
      <c r="K992" s="2" t="s">
        <v>12484</v>
      </c>
      <c r="L992" s="2" t="s">
        <v>12485</v>
      </c>
      <c r="M992" s="3" t="s">
        <v>871</v>
      </c>
      <c r="O992" s="3" t="s">
        <v>65</v>
      </c>
      <c r="P992" s="3" t="s">
        <v>695</v>
      </c>
      <c r="Q992" s="2" t="s">
        <v>12486</v>
      </c>
      <c r="R992" s="3" t="s">
        <v>68</v>
      </c>
      <c r="S992" s="4">
        <v>6</v>
      </c>
      <c r="T992" s="4">
        <v>6</v>
      </c>
      <c r="U992" s="5" t="s">
        <v>10187</v>
      </c>
      <c r="V992" s="5" t="s">
        <v>10187</v>
      </c>
      <c r="W992" s="5" t="s">
        <v>4348</v>
      </c>
      <c r="X992" s="5" t="s">
        <v>4348</v>
      </c>
      <c r="Y992" s="4">
        <v>280</v>
      </c>
      <c r="Z992" s="4">
        <v>248</v>
      </c>
      <c r="AA992" s="4">
        <v>276</v>
      </c>
      <c r="AB992" s="4">
        <v>3</v>
      </c>
      <c r="AC992" s="4">
        <v>3</v>
      </c>
      <c r="AD992" s="4">
        <v>20</v>
      </c>
      <c r="AE992" s="4">
        <v>23</v>
      </c>
      <c r="AF992" s="4">
        <v>9</v>
      </c>
      <c r="AG992" s="4">
        <v>9</v>
      </c>
      <c r="AH992" s="4">
        <v>5</v>
      </c>
      <c r="AI992" s="4">
        <v>5</v>
      </c>
      <c r="AJ992" s="4">
        <v>10</v>
      </c>
      <c r="AK992" s="4">
        <v>13</v>
      </c>
      <c r="AL992" s="4">
        <v>2</v>
      </c>
      <c r="AM992" s="4">
        <v>2</v>
      </c>
      <c r="AN992" s="4">
        <v>0</v>
      </c>
      <c r="AO992" s="4">
        <v>0</v>
      </c>
      <c r="AP992" s="3" t="s">
        <v>58</v>
      </c>
      <c r="AQ992" s="3" t="s">
        <v>58</v>
      </c>
      <c r="AS992" s="6" t="str">
        <f>HYPERLINK("https://creighton-primo.hosted.exlibrisgroup.com/primo-explore/search?tab=default_tab&amp;search_scope=EVERYTHING&amp;vid=01CRU&amp;lang=en_US&amp;offset=0&amp;query=any,contains,991003210189702656","Catalog Record")</f>
        <v>Catalog Record</v>
      </c>
      <c r="AT992" s="6" t="str">
        <f>HYPERLINK("http://www.worldcat.org/oclc/736493","WorldCat Record")</f>
        <v>WorldCat Record</v>
      </c>
      <c r="AU992" s="3" t="s">
        <v>12487</v>
      </c>
      <c r="AV992" s="3" t="s">
        <v>12488</v>
      </c>
      <c r="AW992" s="3" t="s">
        <v>12489</v>
      </c>
      <c r="AX992" s="3" t="s">
        <v>12489</v>
      </c>
      <c r="AY992" s="3" t="s">
        <v>12490</v>
      </c>
      <c r="AZ992" s="3" t="s">
        <v>75</v>
      </c>
      <c r="BC992" s="3" t="s">
        <v>12491</v>
      </c>
      <c r="BD992" s="3" t="s">
        <v>12492</v>
      </c>
    </row>
    <row r="993" spans="1:56" ht="39" customHeight="1" x14ac:dyDescent="0.25">
      <c r="A993" s="7" t="s">
        <v>58</v>
      </c>
      <c r="B993" s="2" t="s">
        <v>12493</v>
      </c>
      <c r="C993" s="2" t="s">
        <v>12494</v>
      </c>
      <c r="D993" s="2" t="s">
        <v>12495</v>
      </c>
      <c r="F993" s="3" t="s">
        <v>58</v>
      </c>
      <c r="G993" s="3" t="s">
        <v>59</v>
      </c>
      <c r="H993" s="3" t="s">
        <v>58</v>
      </c>
      <c r="I993" s="3" t="s">
        <v>58</v>
      </c>
      <c r="J993" s="3" t="s">
        <v>60</v>
      </c>
      <c r="K993" s="2" t="s">
        <v>12496</v>
      </c>
      <c r="L993" s="2" t="s">
        <v>5491</v>
      </c>
      <c r="M993" s="3" t="s">
        <v>128</v>
      </c>
      <c r="O993" s="3" t="s">
        <v>65</v>
      </c>
      <c r="P993" s="3" t="s">
        <v>186</v>
      </c>
      <c r="R993" s="3" t="s">
        <v>68</v>
      </c>
      <c r="S993" s="4">
        <v>5</v>
      </c>
      <c r="T993" s="4">
        <v>5</v>
      </c>
      <c r="U993" s="5" t="s">
        <v>12497</v>
      </c>
      <c r="V993" s="5" t="s">
        <v>12497</v>
      </c>
      <c r="W993" s="5" t="s">
        <v>4348</v>
      </c>
      <c r="X993" s="5" t="s">
        <v>4348</v>
      </c>
      <c r="Y993" s="4">
        <v>219</v>
      </c>
      <c r="Z993" s="4">
        <v>197</v>
      </c>
      <c r="AA993" s="4">
        <v>197</v>
      </c>
      <c r="AB993" s="4">
        <v>2</v>
      </c>
      <c r="AC993" s="4">
        <v>2</v>
      </c>
      <c r="AD993" s="4">
        <v>22</v>
      </c>
      <c r="AE993" s="4">
        <v>22</v>
      </c>
      <c r="AF993" s="4">
        <v>3</v>
      </c>
      <c r="AG993" s="4">
        <v>3</v>
      </c>
      <c r="AH993" s="4">
        <v>6</v>
      </c>
      <c r="AI993" s="4">
        <v>6</v>
      </c>
      <c r="AJ993" s="4">
        <v>18</v>
      </c>
      <c r="AK993" s="4">
        <v>18</v>
      </c>
      <c r="AL993" s="4">
        <v>1</v>
      </c>
      <c r="AM993" s="4">
        <v>1</v>
      </c>
      <c r="AN993" s="4">
        <v>0</v>
      </c>
      <c r="AO993" s="4">
        <v>0</v>
      </c>
      <c r="AP993" s="3" t="s">
        <v>58</v>
      </c>
      <c r="AQ993" s="3" t="s">
        <v>58</v>
      </c>
      <c r="AS993" s="6" t="str">
        <f>HYPERLINK("https://creighton-primo.hosted.exlibrisgroup.com/primo-explore/search?tab=default_tab&amp;search_scope=EVERYTHING&amp;vid=01CRU&amp;lang=en_US&amp;offset=0&amp;query=any,contains,991004406989702656","Catalog Record")</f>
        <v>Catalog Record</v>
      </c>
      <c r="AT993" s="6" t="str">
        <f>HYPERLINK("http://www.worldcat.org/oclc/3326764","WorldCat Record")</f>
        <v>WorldCat Record</v>
      </c>
      <c r="AU993" s="3" t="s">
        <v>12498</v>
      </c>
      <c r="AV993" s="3" t="s">
        <v>12499</v>
      </c>
      <c r="AW993" s="3" t="s">
        <v>12500</v>
      </c>
      <c r="AX993" s="3" t="s">
        <v>12500</v>
      </c>
      <c r="AY993" s="3" t="s">
        <v>12501</v>
      </c>
      <c r="AZ993" s="3" t="s">
        <v>75</v>
      </c>
      <c r="BB993" s="3" t="s">
        <v>12502</v>
      </c>
      <c r="BC993" s="3" t="s">
        <v>12503</v>
      </c>
      <c r="BD993" s="3" t="s">
        <v>12504</v>
      </c>
    </row>
    <row r="994" spans="1:56" ht="39" customHeight="1" x14ac:dyDescent="0.25">
      <c r="A994" s="7" t="s">
        <v>58</v>
      </c>
      <c r="B994" s="2" t="s">
        <v>12505</v>
      </c>
      <c r="C994" s="2" t="s">
        <v>12506</v>
      </c>
      <c r="D994" s="2" t="s">
        <v>12507</v>
      </c>
      <c r="F994" s="3" t="s">
        <v>58</v>
      </c>
      <c r="G994" s="3" t="s">
        <v>59</v>
      </c>
      <c r="H994" s="3" t="s">
        <v>58</v>
      </c>
      <c r="I994" s="3" t="s">
        <v>58</v>
      </c>
      <c r="J994" s="3" t="s">
        <v>60</v>
      </c>
      <c r="K994" s="2" t="s">
        <v>12508</v>
      </c>
      <c r="L994" s="2" t="s">
        <v>12509</v>
      </c>
      <c r="M994" s="3" t="s">
        <v>4281</v>
      </c>
      <c r="O994" s="3" t="s">
        <v>65</v>
      </c>
      <c r="P994" s="3" t="s">
        <v>201</v>
      </c>
      <c r="R994" s="3" t="s">
        <v>68</v>
      </c>
      <c r="S994" s="4">
        <v>1</v>
      </c>
      <c r="T994" s="4">
        <v>1</v>
      </c>
      <c r="U994" s="5" t="s">
        <v>12510</v>
      </c>
      <c r="V994" s="5" t="s">
        <v>12510</v>
      </c>
      <c r="W994" s="5" t="s">
        <v>12510</v>
      </c>
      <c r="X994" s="5" t="s">
        <v>12510</v>
      </c>
      <c r="Y994" s="4">
        <v>179</v>
      </c>
      <c r="Z994" s="4">
        <v>143</v>
      </c>
      <c r="AA994" s="4">
        <v>154</v>
      </c>
      <c r="AB994" s="4">
        <v>1</v>
      </c>
      <c r="AC994" s="4">
        <v>1</v>
      </c>
      <c r="AD994" s="4">
        <v>18</v>
      </c>
      <c r="AE994" s="4">
        <v>18</v>
      </c>
      <c r="AF994" s="4">
        <v>7</v>
      </c>
      <c r="AG994" s="4">
        <v>7</v>
      </c>
      <c r="AH994" s="4">
        <v>6</v>
      </c>
      <c r="AI994" s="4">
        <v>6</v>
      </c>
      <c r="AJ994" s="4">
        <v>10</v>
      </c>
      <c r="AK994" s="4">
        <v>10</v>
      </c>
      <c r="AL994" s="4">
        <v>0</v>
      </c>
      <c r="AM994" s="4">
        <v>0</v>
      </c>
      <c r="AN994" s="4">
        <v>0</v>
      </c>
      <c r="AO994" s="4">
        <v>0</v>
      </c>
      <c r="AP994" s="3" t="s">
        <v>58</v>
      </c>
      <c r="AQ994" s="3" t="s">
        <v>58</v>
      </c>
      <c r="AS994" s="6" t="str">
        <f>HYPERLINK("https://creighton-primo.hosted.exlibrisgroup.com/primo-explore/search?tab=default_tab&amp;search_scope=EVERYTHING&amp;vid=01CRU&amp;lang=en_US&amp;offset=0&amp;query=any,contains,991004404179702656","Catalog Record")</f>
        <v>Catalog Record</v>
      </c>
      <c r="AT994" s="6" t="str">
        <f>HYPERLINK("http://www.worldcat.org/oclc/54896952","WorldCat Record")</f>
        <v>WorldCat Record</v>
      </c>
      <c r="AU994" s="3" t="s">
        <v>12511</v>
      </c>
      <c r="AV994" s="3" t="s">
        <v>12512</v>
      </c>
      <c r="AW994" s="3" t="s">
        <v>12513</v>
      </c>
      <c r="AX994" s="3" t="s">
        <v>12513</v>
      </c>
      <c r="AY994" s="3" t="s">
        <v>12514</v>
      </c>
      <c r="AZ994" s="3" t="s">
        <v>75</v>
      </c>
      <c r="BB994" s="3" t="s">
        <v>12515</v>
      </c>
      <c r="BC994" s="3" t="s">
        <v>12516</v>
      </c>
      <c r="BD994" s="3" t="s">
        <v>12517</v>
      </c>
    </row>
    <row r="995" spans="1:56" ht="39" customHeight="1" x14ac:dyDescent="0.25">
      <c r="A995" s="7" t="s">
        <v>58</v>
      </c>
      <c r="B995" s="2" t="s">
        <v>12518</v>
      </c>
      <c r="C995" s="2" t="s">
        <v>12519</v>
      </c>
      <c r="D995" s="2" t="s">
        <v>12520</v>
      </c>
      <c r="F995" s="3" t="s">
        <v>58</v>
      </c>
      <c r="G995" s="3" t="s">
        <v>59</v>
      </c>
      <c r="H995" s="3" t="s">
        <v>58</v>
      </c>
      <c r="I995" s="3" t="s">
        <v>58</v>
      </c>
      <c r="J995" s="3" t="s">
        <v>60</v>
      </c>
      <c r="L995" s="2" t="s">
        <v>12521</v>
      </c>
      <c r="M995" s="3" t="s">
        <v>172</v>
      </c>
      <c r="O995" s="3" t="s">
        <v>65</v>
      </c>
      <c r="P995" s="3" t="s">
        <v>186</v>
      </c>
      <c r="R995" s="3" t="s">
        <v>68</v>
      </c>
      <c r="S995" s="4">
        <v>7</v>
      </c>
      <c r="T995" s="4">
        <v>7</v>
      </c>
      <c r="U995" s="5" t="s">
        <v>12522</v>
      </c>
      <c r="V995" s="5" t="s">
        <v>12522</v>
      </c>
      <c r="W995" s="5" t="s">
        <v>12523</v>
      </c>
      <c r="X995" s="5" t="s">
        <v>12523</v>
      </c>
      <c r="Y995" s="4">
        <v>416</v>
      </c>
      <c r="Z995" s="4">
        <v>362</v>
      </c>
      <c r="AA995" s="4">
        <v>372</v>
      </c>
      <c r="AB995" s="4">
        <v>3</v>
      </c>
      <c r="AC995" s="4">
        <v>3</v>
      </c>
      <c r="AD995" s="4">
        <v>33</v>
      </c>
      <c r="AE995" s="4">
        <v>34</v>
      </c>
      <c r="AF995" s="4">
        <v>10</v>
      </c>
      <c r="AG995" s="4">
        <v>11</v>
      </c>
      <c r="AH995" s="4">
        <v>9</v>
      </c>
      <c r="AI995" s="4">
        <v>9</v>
      </c>
      <c r="AJ995" s="4">
        <v>23</v>
      </c>
      <c r="AK995" s="4">
        <v>24</v>
      </c>
      <c r="AL995" s="4">
        <v>1</v>
      </c>
      <c r="AM995" s="4">
        <v>1</v>
      </c>
      <c r="AN995" s="4">
        <v>0</v>
      </c>
      <c r="AO995" s="4">
        <v>0</v>
      </c>
      <c r="AP995" s="3" t="s">
        <v>58</v>
      </c>
      <c r="AQ995" s="3" t="s">
        <v>58</v>
      </c>
      <c r="AS995" s="6" t="str">
        <f>HYPERLINK("https://creighton-primo.hosted.exlibrisgroup.com/primo-explore/search?tab=default_tab&amp;search_scope=EVERYTHING&amp;vid=01CRU&amp;lang=en_US&amp;offset=0&amp;query=any,contains,991001220329702656","Catalog Record")</f>
        <v>Catalog Record</v>
      </c>
      <c r="AT995" s="6" t="str">
        <f>HYPERLINK("http://www.worldcat.org/oclc/196489","WorldCat Record")</f>
        <v>WorldCat Record</v>
      </c>
      <c r="AU995" s="3" t="s">
        <v>12524</v>
      </c>
      <c r="AV995" s="3" t="s">
        <v>12525</v>
      </c>
      <c r="AW995" s="3" t="s">
        <v>12526</v>
      </c>
      <c r="AX995" s="3" t="s">
        <v>12526</v>
      </c>
      <c r="AY995" s="3" t="s">
        <v>12527</v>
      </c>
      <c r="AZ995" s="3" t="s">
        <v>75</v>
      </c>
      <c r="BC995" s="3" t="s">
        <v>12528</v>
      </c>
      <c r="BD995" s="3" t="s">
        <v>12529</v>
      </c>
    </row>
    <row r="996" spans="1:56" ht="39" customHeight="1" x14ac:dyDescent="0.25">
      <c r="A996" s="7" t="s">
        <v>58</v>
      </c>
      <c r="B996" s="2" t="s">
        <v>12530</v>
      </c>
      <c r="C996" s="2" t="s">
        <v>12531</v>
      </c>
      <c r="D996" s="2" t="s">
        <v>12532</v>
      </c>
      <c r="F996" s="3" t="s">
        <v>58</v>
      </c>
      <c r="G996" s="3" t="s">
        <v>59</v>
      </c>
      <c r="H996" s="3" t="s">
        <v>58</v>
      </c>
      <c r="I996" s="3" t="s">
        <v>58</v>
      </c>
      <c r="J996" s="3" t="s">
        <v>60</v>
      </c>
      <c r="K996" s="2" t="s">
        <v>12533</v>
      </c>
      <c r="L996" s="2" t="s">
        <v>5120</v>
      </c>
      <c r="M996" s="3" t="s">
        <v>172</v>
      </c>
      <c r="O996" s="3" t="s">
        <v>65</v>
      </c>
      <c r="P996" s="3" t="s">
        <v>186</v>
      </c>
      <c r="R996" s="3" t="s">
        <v>68</v>
      </c>
      <c r="S996" s="4">
        <v>9</v>
      </c>
      <c r="T996" s="4">
        <v>9</v>
      </c>
      <c r="U996" s="5" t="s">
        <v>1803</v>
      </c>
      <c r="V996" s="5" t="s">
        <v>1803</v>
      </c>
      <c r="W996" s="5" t="s">
        <v>70</v>
      </c>
      <c r="X996" s="5" t="s">
        <v>70</v>
      </c>
      <c r="Y996" s="4">
        <v>934</v>
      </c>
      <c r="Z996" s="4">
        <v>861</v>
      </c>
      <c r="AA996" s="4">
        <v>993</v>
      </c>
      <c r="AB996" s="4">
        <v>8</v>
      </c>
      <c r="AC996" s="4">
        <v>9</v>
      </c>
      <c r="AD996" s="4">
        <v>48</v>
      </c>
      <c r="AE996" s="4">
        <v>52</v>
      </c>
      <c r="AF996" s="4">
        <v>18</v>
      </c>
      <c r="AG996" s="4">
        <v>21</v>
      </c>
      <c r="AH996" s="4">
        <v>10</v>
      </c>
      <c r="AI996" s="4">
        <v>10</v>
      </c>
      <c r="AJ996" s="4">
        <v>27</v>
      </c>
      <c r="AK996" s="4">
        <v>27</v>
      </c>
      <c r="AL996" s="4">
        <v>5</v>
      </c>
      <c r="AM996" s="4">
        <v>6</v>
      </c>
      <c r="AN996" s="4">
        <v>0</v>
      </c>
      <c r="AO996" s="4">
        <v>0</v>
      </c>
      <c r="AP996" s="3" t="s">
        <v>58</v>
      </c>
      <c r="AQ996" s="3" t="s">
        <v>132</v>
      </c>
      <c r="AR996" s="6" t="str">
        <f>HYPERLINK("http://catalog.hathitrust.org/Record/001413287","HathiTrust Record")</f>
        <v>HathiTrust Record</v>
      </c>
      <c r="AS996" s="6" t="str">
        <f>HYPERLINK("https://creighton-primo.hosted.exlibrisgroup.com/primo-explore/search?tab=default_tab&amp;search_scope=EVERYTHING&amp;vid=01CRU&amp;lang=en_US&amp;offset=0&amp;query=any,contains,991000775049702656","Catalog Record")</f>
        <v>Catalog Record</v>
      </c>
      <c r="AT996" s="6" t="str">
        <f>HYPERLINK("http://www.worldcat.org/oclc/132286","WorldCat Record")</f>
        <v>WorldCat Record</v>
      </c>
      <c r="AU996" s="3" t="s">
        <v>12534</v>
      </c>
      <c r="AV996" s="3" t="s">
        <v>12535</v>
      </c>
      <c r="AW996" s="3" t="s">
        <v>12536</v>
      </c>
      <c r="AX996" s="3" t="s">
        <v>12536</v>
      </c>
      <c r="AY996" s="3" t="s">
        <v>12537</v>
      </c>
      <c r="AZ996" s="3" t="s">
        <v>75</v>
      </c>
      <c r="BC996" s="3" t="s">
        <v>12538</v>
      </c>
      <c r="BD996" s="3" t="s">
        <v>12539</v>
      </c>
    </row>
    <row r="997" spans="1:56" ht="39" customHeight="1" x14ac:dyDescent="0.25">
      <c r="A997" s="7" t="s">
        <v>58</v>
      </c>
      <c r="B997" s="2" t="s">
        <v>12540</v>
      </c>
      <c r="C997" s="2" t="s">
        <v>12541</v>
      </c>
      <c r="D997" s="2" t="s">
        <v>12542</v>
      </c>
      <c r="F997" s="3" t="s">
        <v>58</v>
      </c>
      <c r="G997" s="3" t="s">
        <v>59</v>
      </c>
      <c r="H997" s="3" t="s">
        <v>58</v>
      </c>
      <c r="I997" s="3" t="s">
        <v>58</v>
      </c>
      <c r="J997" s="3" t="s">
        <v>60</v>
      </c>
      <c r="L997" s="2" t="s">
        <v>12543</v>
      </c>
      <c r="M997" s="3" t="s">
        <v>439</v>
      </c>
      <c r="O997" s="3" t="s">
        <v>65</v>
      </c>
      <c r="P997" s="3" t="s">
        <v>113</v>
      </c>
      <c r="R997" s="3" t="s">
        <v>68</v>
      </c>
      <c r="S997" s="4">
        <v>2</v>
      </c>
      <c r="T997" s="4">
        <v>2</v>
      </c>
      <c r="U997" s="5" t="s">
        <v>12544</v>
      </c>
      <c r="V997" s="5" t="s">
        <v>12544</v>
      </c>
      <c r="W997" s="5" t="s">
        <v>12545</v>
      </c>
      <c r="X997" s="5" t="s">
        <v>12545</v>
      </c>
      <c r="Y997" s="4">
        <v>280</v>
      </c>
      <c r="Z997" s="4">
        <v>259</v>
      </c>
      <c r="AA997" s="4">
        <v>261</v>
      </c>
      <c r="AB997" s="4">
        <v>4</v>
      </c>
      <c r="AC997" s="4">
        <v>4</v>
      </c>
      <c r="AD997" s="4">
        <v>34</v>
      </c>
      <c r="AE997" s="4">
        <v>34</v>
      </c>
      <c r="AF997" s="4">
        <v>12</v>
      </c>
      <c r="AG997" s="4">
        <v>12</v>
      </c>
      <c r="AH997" s="4">
        <v>9</v>
      </c>
      <c r="AI997" s="4">
        <v>9</v>
      </c>
      <c r="AJ997" s="4">
        <v>24</v>
      </c>
      <c r="AK997" s="4">
        <v>24</v>
      </c>
      <c r="AL997" s="4">
        <v>2</v>
      </c>
      <c r="AM997" s="4">
        <v>2</v>
      </c>
      <c r="AN997" s="4">
        <v>0</v>
      </c>
      <c r="AO997" s="4">
        <v>0</v>
      </c>
      <c r="AP997" s="3" t="s">
        <v>58</v>
      </c>
      <c r="AQ997" s="3" t="s">
        <v>132</v>
      </c>
      <c r="AR997" s="6" t="str">
        <f>HYPERLINK("http://catalog.hathitrust.org/Record/000313455","HathiTrust Record")</f>
        <v>HathiTrust Record</v>
      </c>
      <c r="AS997" s="6" t="str">
        <f>HYPERLINK("https://creighton-primo.hosted.exlibrisgroup.com/primo-explore/search?tab=default_tab&amp;search_scope=EVERYTHING&amp;vid=01CRU&amp;lang=en_US&amp;offset=0&amp;query=any,contains,991005078219702656","Catalog Record")</f>
        <v>Catalog Record</v>
      </c>
      <c r="AT997" s="6" t="str">
        <f>HYPERLINK("http://www.worldcat.org/oclc/7157073","WorldCat Record")</f>
        <v>WorldCat Record</v>
      </c>
      <c r="AU997" s="3" t="s">
        <v>12546</v>
      </c>
      <c r="AV997" s="3" t="s">
        <v>12547</v>
      </c>
      <c r="AW997" s="3" t="s">
        <v>12548</v>
      </c>
      <c r="AX997" s="3" t="s">
        <v>12548</v>
      </c>
      <c r="AY997" s="3" t="s">
        <v>12549</v>
      </c>
      <c r="AZ997" s="3" t="s">
        <v>75</v>
      </c>
      <c r="BC997" s="3" t="s">
        <v>12550</v>
      </c>
      <c r="BD997" s="3" t="s">
        <v>12551</v>
      </c>
    </row>
    <row r="998" spans="1:56" ht="39" customHeight="1" x14ac:dyDescent="0.25">
      <c r="A998" s="7" t="s">
        <v>58</v>
      </c>
      <c r="B998" s="2" t="s">
        <v>12552</v>
      </c>
      <c r="C998" s="2" t="s">
        <v>12553</v>
      </c>
      <c r="D998" s="2" t="s">
        <v>12554</v>
      </c>
      <c r="F998" s="3" t="s">
        <v>58</v>
      </c>
      <c r="G998" s="3" t="s">
        <v>59</v>
      </c>
      <c r="H998" s="3" t="s">
        <v>58</v>
      </c>
      <c r="I998" s="3" t="s">
        <v>58</v>
      </c>
      <c r="J998" s="3" t="s">
        <v>60</v>
      </c>
      <c r="K998" s="2" t="s">
        <v>12555</v>
      </c>
      <c r="L998" s="2" t="s">
        <v>3919</v>
      </c>
      <c r="M998" s="3" t="s">
        <v>3920</v>
      </c>
      <c r="O998" s="3" t="s">
        <v>65</v>
      </c>
      <c r="P998" s="3" t="s">
        <v>113</v>
      </c>
      <c r="R998" s="3" t="s">
        <v>68</v>
      </c>
      <c r="S998" s="4">
        <v>3</v>
      </c>
      <c r="T998" s="4">
        <v>3</v>
      </c>
      <c r="U998" s="5" t="s">
        <v>12556</v>
      </c>
      <c r="V998" s="5" t="s">
        <v>12556</v>
      </c>
      <c r="W998" s="5" t="s">
        <v>3921</v>
      </c>
      <c r="X998" s="5" t="s">
        <v>3921</v>
      </c>
      <c r="Y998" s="4">
        <v>15</v>
      </c>
      <c r="Z998" s="4">
        <v>14</v>
      </c>
      <c r="AA998" s="4">
        <v>14</v>
      </c>
      <c r="AB998" s="4">
        <v>1</v>
      </c>
      <c r="AC998" s="4">
        <v>1</v>
      </c>
      <c r="AD998" s="4">
        <v>5</v>
      </c>
      <c r="AE998" s="4">
        <v>5</v>
      </c>
      <c r="AF998" s="4">
        <v>2</v>
      </c>
      <c r="AG998" s="4">
        <v>2</v>
      </c>
      <c r="AH998" s="4">
        <v>1</v>
      </c>
      <c r="AI998" s="4">
        <v>1</v>
      </c>
      <c r="AJ998" s="4">
        <v>3</v>
      </c>
      <c r="AK998" s="4">
        <v>3</v>
      </c>
      <c r="AL998" s="4">
        <v>0</v>
      </c>
      <c r="AM998" s="4">
        <v>0</v>
      </c>
      <c r="AN998" s="4">
        <v>0</v>
      </c>
      <c r="AO998" s="4">
        <v>0</v>
      </c>
      <c r="AP998" s="3" t="s">
        <v>58</v>
      </c>
      <c r="AQ998" s="3" t="s">
        <v>58</v>
      </c>
      <c r="AS998" s="6" t="str">
        <f>HYPERLINK("https://creighton-primo.hosted.exlibrisgroup.com/primo-explore/search?tab=default_tab&amp;search_scope=EVERYTHING&amp;vid=01CRU&amp;lang=en_US&amp;offset=0&amp;query=any,contains,991004765079702656","Catalog Record")</f>
        <v>Catalog Record</v>
      </c>
      <c r="AT998" s="6" t="str">
        <f>HYPERLINK("http://www.worldcat.org/oclc/63204837","WorldCat Record")</f>
        <v>WorldCat Record</v>
      </c>
      <c r="AU998" s="3" t="s">
        <v>12557</v>
      </c>
      <c r="AV998" s="3" t="s">
        <v>12558</v>
      </c>
      <c r="AW998" s="3" t="s">
        <v>12559</v>
      </c>
      <c r="AX998" s="3" t="s">
        <v>12559</v>
      </c>
      <c r="AY998" s="3" t="s">
        <v>12560</v>
      </c>
      <c r="AZ998" s="3" t="s">
        <v>75</v>
      </c>
      <c r="BB998" s="3" t="s">
        <v>12561</v>
      </c>
      <c r="BC998" s="3" t="s">
        <v>12562</v>
      </c>
      <c r="BD998" s="3" t="s">
        <v>12563</v>
      </c>
    </row>
    <row r="999" spans="1:56" ht="39" customHeight="1" x14ac:dyDescent="0.25">
      <c r="A999" s="7" t="s">
        <v>58</v>
      </c>
      <c r="B999" s="2" t="s">
        <v>12564</v>
      </c>
      <c r="C999" s="2" t="s">
        <v>12565</v>
      </c>
      <c r="D999" s="2" t="s">
        <v>12566</v>
      </c>
      <c r="F999" s="3" t="s">
        <v>58</v>
      </c>
      <c r="G999" s="3" t="s">
        <v>59</v>
      </c>
      <c r="H999" s="3" t="s">
        <v>58</v>
      </c>
      <c r="I999" s="3" t="s">
        <v>58</v>
      </c>
      <c r="J999" s="3" t="s">
        <v>60</v>
      </c>
      <c r="K999" s="2" t="s">
        <v>12567</v>
      </c>
      <c r="L999" s="2" t="s">
        <v>12568</v>
      </c>
      <c r="M999" s="3" t="s">
        <v>781</v>
      </c>
      <c r="O999" s="3" t="s">
        <v>65</v>
      </c>
      <c r="P999" s="3" t="s">
        <v>201</v>
      </c>
      <c r="R999" s="3" t="s">
        <v>68</v>
      </c>
      <c r="S999" s="4">
        <v>4</v>
      </c>
      <c r="T999" s="4">
        <v>4</v>
      </c>
      <c r="U999" s="5" t="s">
        <v>12569</v>
      </c>
      <c r="V999" s="5" t="s">
        <v>12569</v>
      </c>
      <c r="W999" s="5" t="s">
        <v>4348</v>
      </c>
      <c r="X999" s="5" t="s">
        <v>4348</v>
      </c>
      <c r="Y999" s="4">
        <v>226</v>
      </c>
      <c r="Z999" s="4">
        <v>182</v>
      </c>
      <c r="AA999" s="4">
        <v>183</v>
      </c>
      <c r="AB999" s="4">
        <v>3</v>
      </c>
      <c r="AC999" s="4">
        <v>3</v>
      </c>
      <c r="AD999" s="4">
        <v>13</v>
      </c>
      <c r="AE999" s="4">
        <v>13</v>
      </c>
      <c r="AF999" s="4">
        <v>3</v>
      </c>
      <c r="AG999" s="4">
        <v>3</v>
      </c>
      <c r="AH999" s="4">
        <v>1</v>
      </c>
      <c r="AI999" s="4">
        <v>1</v>
      </c>
      <c r="AJ999" s="4">
        <v>9</v>
      </c>
      <c r="AK999" s="4">
        <v>9</v>
      </c>
      <c r="AL999" s="4">
        <v>2</v>
      </c>
      <c r="AM999" s="4">
        <v>2</v>
      </c>
      <c r="AN999" s="4">
        <v>0</v>
      </c>
      <c r="AO999" s="4">
        <v>0</v>
      </c>
      <c r="AP999" s="3" t="s">
        <v>58</v>
      </c>
      <c r="AQ999" s="3" t="s">
        <v>58</v>
      </c>
      <c r="AS999" s="6" t="str">
        <f>HYPERLINK("https://creighton-primo.hosted.exlibrisgroup.com/primo-explore/search?tab=default_tab&amp;search_scope=EVERYTHING&amp;vid=01CRU&amp;lang=en_US&amp;offset=0&amp;query=any,contains,991000625579702656","Catalog Record")</f>
        <v>Catalog Record</v>
      </c>
      <c r="AT999" s="6" t="str">
        <f>HYPERLINK("http://www.worldcat.org/oclc/12021941","WorldCat Record")</f>
        <v>WorldCat Record</v>
      </c>
      <c r="AU999" s="3" t="s">
        <v>12570</v>
      </c>
      <c r="AV999" s="3" t="s">
        <v>12571</v>
      </c>
      <c r="AW999" s="3" t="s">
        <v>12572</v>
      </c>
      <c r="AX999" s="3" t="s">
        <v>12572</v>
      </c>
      <c r="AY999" s="3" t="s">
        <v>12573</v>
      </c>
      <c r="AZ999" s="3" t="s">
        <v>75</v>
      </c>
      <c r="BB999" s="3" t="s">
        <v>12574</v>
      </c>
      <c r="BC999" s="3" t="s">
        <v>12575</v>
      </c>
      <c r="BD999" s="3" t="s">
        <v>12576</v>
      </c>
    </row>
    <row r="1000" spans="1:56" ht="39" customHeight="1" x14ac:dyDescent="0.25">
      <c r="A1000" s="7" t="s">
        <v>58</v>
      </c>
      <c r="B1000" s="2" t="s">
        <v>12577</v>
      </c>
      <c r="C1000" s="2" t="s">
        <v>12578</v>
      </c>
      <c r="D1000" s="2" t="s">
        <v>12579</v>
      </c>
      <c r="F1000" s="3" t="s">
        <v>58</v>
      </c>
      <c r="G1000" s="3" t="s">
        <v>59</v>
      </c>
      <c r="H1000" s="3" t="s">
        <v>58</v>
      </c>
      <c r="I1000" s="3" t="s">
        <v>58</v>
      </c>
      <c r="J1000" s="3" t="s">
        <v>60</v>
      </c>
      <c r="K1000" s="2" t="s">
        <v>12580</v>
      </c>
      <c r="L1000" s="2" t="s">
        <v>12581</v>
      </c>
      <c r="M1000" s="3" t="s">
        <v>1261</v>
      </c>
      <c r="O1000" s="3" t="s">
        <v>65</v>
      </c>
      <c r="P1000" s="3" t="s">
        <v>113</v>
      </c>
      <c r="R1000" s="3" t="s">
        <v>68</v>
      </c>
      <c r="S1000" s="4">
        <v>1</v>
      </c>
      <c r="T1000" s="4">
        <v>1</v>
      </c>
      <c r="U1000" s="5" t="s">
        <v>3343</v>
      </c>
      <c r="V1000" s="5" t="s">
        <v>3343</v>
      </c>
      <c r="W1000" s="5" t="s">
        <v>12582</v>
      </c>
      <c r="X1000" s="5" t="s">
        <v>12582</v>
      </c>
      <c r="Y1000" s="4">
        <v>300</v>
      </c>
      <c r="Z1000" s="4">
        <v>238</v>
      </c>
      <c r="AA1000" s="4">
        <v>255</v>
      </c>
      <c r="AB1000" s="4">
        <v>3</v>
      </c>
      <c r="AC1000" s="4">
        <v>3</v>
      </c>
      <c r="AD1000" s="4">
        <v>10</v>
      </c>
      <c r="AE1000" s="4">
        <v>11</v>
      </c>
      <c r="AF1000" s="4">
        <v>5</v>
      </c>
      <c r="AG1000" s="4">
        <v>6</v>
      </c>
      <c r="AH1000" s="4">
        <v>1</v>
      </c>
      <c r="AI1000" s="4">
        <v>2</v>
      </c>
      <c r="AJ1000" s="4">
        <v>4</v>
      </c>
      <c r="AK1000" s="4">
        <v>4</v>
      </c>
      <c r="AL1000" s="4">
        <v>1</v>
      </c>
      <c r="AM1000" s="4">
        <v>1</v>
      </c>
      <c r="AN1000" s="4">
        <v>0</v>
      </c>
      <c r="AO1000" s="4">
        <v>0</v>
      </c>
      <c r="AP1000" s="3" t="s">
        <v>58</v>
      </c>
      <c r="AQ1000" s="3" t="s">
        <v>58</v>
      </c>
      <c r="AS1000" s="6" t="str">
        <f>HYPERLINK("https://creighton-primo.hosted.exlibrisgroup.com/primo-explore/search?tab=default_tab&amp;search_scope=EVERYTHING&amp;vid=01CRU&amp;lang=en_US&amp;offset=0&amp;query=any,contains,991005328129702656","Catalog Record")</f>
        <v>Catalog Record</v>
      </c>
      <c r="AT1000" s="6" t="str">
        <f>HYPERLINK("http://www.worldcat.org/oclc/25408644","WorldCat Record")</f>
        <v>WorldCat Record</v>
      </c>
      <c r="AU1000" s="3" t="s">
        <v>12583</v>
      </c>
      <c r="AV1000" s="3" t="s">
        <v>12584</v>
      </c>
      <c r="AW1000" s="3" t="s">
        <v>12585</v>
      </c>
      <c r="AX1000" s="3" t="s">
        <v>12585</v>
      </c>
      <c r="AY1000" s="3" t="s">
        <v>12586</v>
      </c>
      <c r="AZ1000" s="3" t="s">
        <v>75</v>
      </c>
      <c r="BB1000" s="3" t="s">
        <v>12587</v>
      </c>
      <c r="BC1000" s="3" t="s">
        <v>12588</v>
      </c>
      <c r="BD1000" s="3" t="s">
        <v>12589</v>
      </c>
    </row>
    <row r="1001" spans="1:56" ht="39" customHeight="1" x14ac:dyDescent="0.25">
      <c r="A1001" s="7" t="s">
        <v>58</v>
      </c>
      <c r="B1001" s="2" t="s">
        <v>12590</v>
      </c>
      <c r="C1001" s="2" t="s">
        <v>12591</v>
      </c>
      <c r="D1001" s="2" t="s">
        <v>12592</v>
      </c>
      <c r="F1001" s="3" t="s">
        <v>58</v>
      </c>
      <c r="G1001" s="3" t="s">
        <v>59</v>
      </c>
      <c r="H1001" s="3" t="s">
        <v>58</v>
      </c>
      <c r="I1001" s="3" t="s">
        <v>58</v>
      </c>
      <c r="J1001" s="3" t="s">
        <v>60</v>
      </c>
      <c r="K1001" s="2" t="s">
        <v>12593</v>
      </c>
      <c r="L1001" s="2" t="s">
        <v>12594</v>
      </c>
      <c r="M1001" s="3" t="s">
        <v>781</v>
      </c>
      <c r="O1001" s="3" t="s">
        <v>65</v>
      </c>
      <c r="P1001" s="3" t="s">
        <v>66</v>
      </c>
      <c r="R1001" s="3" t="s">
        <v>68</v>
      </c>
      <c r="S1001" s="4">
        <v>1</v>
      </c>
      <c r="T1001" s="4">
        <v>1</v>
      </c>
      <c r="U1001" s="5" t="s">
        <v>12595</v>
      </c>
      <c r="V1001" s="5" t="s">
        <v>12595</v>
      </c>
      <c r="W1001" s="5" t="s">
        <v>4348</v>
      </c>
      <c r="X1001" s="5" t="s">
        <v>4348</v>
      </c>
      <c r="Y1001" s="4">
        <v>84</v>
      </c>
      <c r="Z1001" s="4">
        <v>34</v>
      </c>
      <c r="AA1001" s="4">
        <v>59</v>
      </c>
      <c r="AB1001" s="4">
        <v>1</v>
      </c>
      <c r="AC1001" s="4">
        <v>1</v>
      </c>
      <c r="AD1001" s="4">
        <v>2</v>
      </c>
      <c r="AE1001" s="4">
        <v>4</v>
      </c>
      <c r="AF1001" s="4">
        <v>0</v>
      </c>
      <c r="AG1001" s="4">
        <v>1</v>
      </c>
      <c r="AH1001" s="4">
        <v>0</v>
      </c>
      <c r="AI1001" s="4">
        <v>0</v>
      </c>
      <c r="AJ1001" s="4">
        <v>2</v>
      </c>
      <c r="AK1001" s="4">
        <v>3</v>
      </c>
      <c r="AL1001" s="4">
        <v>0</v>
      </c>
      <c r="AM1001" s="4">
        <v>0</v>
      </c>
      <c r="AN1001" s="4">
        <v>0</v>
      </c>
      <c r="AO1001" s="4">
        <v>0</v>
      </c>
      <c r="AP1001" s="3" t="s">
        <v>58</v>
      </c>
      <c r="AQ1001" s="3" t="s">
        <v>58</v>
      </c>
      <c r="AS1001" s="6" t="str">
        <f>HYPERLINK("https://creighton-primo.hosted.exlibrisgroup.com/primo-explore/search?tab=default_tab&amp;search_scope=EVERYTHING&amp;vid=01CRU&amp;lang=en_US&amp;offset=0&amp;query=any,contains,991000696029702656","Catalog Record")</f>
        <v>Catalog Record</v>
      </c>
      <c r="AT1001" s="6" t="str">
        <f>HYPERLINK("http://www.worldcat.org/oclc/12513723","WorldCat Record")</f>
        <v>WorldCat Record</v>
      </c>
      <c r="AU1001" s="3" t="s">
        <v>12596</v>
      </c>
      <c r="AV1001" s="3" t="s">
        <v>12597</v>
      </c>
      <c r="AW1001" s="3" t="s">
        <v>12598</v>
      </c>
      <c r="AX1001" s="3" t="s">
        <v>12598</v>
      </c>
      <c r="AY1001" s="3" t="s">
        <v>12599</v>
      </c>
      <c r="AZ1001" s="3" t="s">
        <v>75</v>
      </c>
      <c r="BB1001" s="3" t="s">
        <v>12600</v>
      </c>
      <c r="BC1001" s="3" t="s">
        <v>12601</v>
      </c>
      <c r="BD1001" s="3" t="s">
        <v>12602</v>
      </c>
    </row>
    <row r="1002" spans="1:56" ht="39" customHeight="1" x14ac:dyDescent="0.25">
      <c r="A1002" s="7" t="s">
        <v>58</v>
      </c>
      <c r="B1002" s="2" t="s">
        <v>12603</v>
      </c>
      <c r="C1002" s="2" t="s">
        <v>12604</v>
      </c>
      <c r="D1002" s="2" t="s">
        <v>12605</v>
      </c>
      <c r="F1002" s="3" t="s">
        <v>58</v>
      </c>
      <c r="G1002" s="3" t="s">
        <v>59</v>
      </c>
      <c r="H1002" s="3" t="s">
        <v>58</v>
      </c>
      <c r="I1002" s="3" t="s">
        <v>58</v>
      </c>
      <c r="J1002" s="3" t="s">
        <v>60</v>
      </c>
      <c r="L1002" s="2" t="s">
        <v>12606</v>
      </c>
      <c r="M1002" s="3" t="s">
        <v>157</v>
      </c>
      <c r="O1002" s="3" t="s">
        <v>1490</v>
      </c>
      <c r="P1002" s="3" t="s">
        <v>12607</v>
      </c>
      <c r="R1002" s="3" t="s">
        <v>68</v>
      </c>
      <c r="S1002" s="4">
        <v>1</v>
      </c>
      <c r="T1002" s="4">
        <v>1</v>
      </c>
      <c r="U1002" s="5" t="s">
        <v>12608</v>
      </c>
      <c r="V1002" s="5" t="s">
        <v>12608</v>
      </c>
      <c r="W1002" s="5" t="s">
        <v>4348</v>
      </c>
      <c r="X1002" s="5" t="s">
        <v>4348</v>
      </c>
      <c r="Y1002" s="4">
        <v>63</v>
      </c>
      <c r="Z1002" s="4">
        <v>36</v>
      </c>
      <c r="AA1002" s="4">
        <v>36</v>
      </c>
      <c r="AB1002" s="4">
        <v>1</v>
      </c>
      <c r="AC1002" s="4">
        <v>1</v>
      </c>
      <c r="AD1002" s="4">
        <v>5</v>
      </c>
      <c r="AE1002" s="4">
        <v>5</v>
      </c>
      <c r="AF1002" s="4">
        <v>0</v>
      </c>
      <c r="AG1002" s="4">
        <v>0</v>
      </c>
      <c r="AH1002" s="4">
        <v>2</v>
      </c>
      <c r="AI1002" s="4">
        <v>2</v>
      </c>
      <c r="AJ1002" s="4">
        <v>4</v>
      </c>
      <c r="AK1002" s="4">
        <v>4</v>
      </c>
      <c r="AL1002" s="4">
        <v>0</v>
      </c>
      <c r="AM1002" s="4">
        <v>0</v>
      </c>
      <c r="AN1002" s="4">
        <v>0</v>
      </c>
      <c r="AO1002" s="4">
        <v>0</v>
      </c>
      <c r="AP1002" s="3" t="s">
        <v>58</v>
      </c>
      <c r="AQ1002" s="3" t="s">
        <v>58</v>
      </c>
      <c r="AS1002" s="6" t="str">
        <f>HYPERLINK("https://creighton-primo.hosted.exlibrisgroup.com/primo-explore/search?tab=default_tab&amp;search_scope=EVERYTHING&amp;vid=01CRU&amp;lang=en_US&amp;offset=0&amp;query=any,contains,991000222889702656","Catalog Record")</f>
        <v>Catalog Record</v>
      </c>
      <c r="AT1002" s="6" t="str">
        <f>HYPERLINK("http://www.worldcat.org/oclc/9579005","WorldCat Record")</f>
        <v>WorldCat Record</v>
      </c>
      <c r="AU1002" s="3" t="s">
        <v>12609</v>
      </c>
      <c r="AV1002" s="3" t="s">
        <v>12610</v>
      </c>
      <c r="AW1002" s="3" t="s">
        <v>12611</v>
      </c>
      <c r="AX1002" s="3" t="s">
        <v>12611</v>
      </c>
      <c r="AY1002" s="3" t="s">
        <v>12612</v>
      </c>
      <c r="AZ1002" s="3" t="s">
        <v>75</v>
      </c>
      <c r="BC1002" s="3" t="s">
        <v>12613</v>
      </c>
      <c r="BD1002" s="3" t="s">
        <v>12614</v>
      </c>
    </row>
    <row r="1003" spans="1:56" ht="39" customHeight="1" x14ac:dyDescent="0.25">
      <c r="A1003" s="7" t="s">
        <v>58</v>
      </c>
      <c r="B1003" s="2" t="s">
        <v>12615</v>
      </c>
      <c r="C1003" s="2" t="s">
        <v>12616</v>
      </c>
      <c r="D1003" s="2" t="s">
        <v>12617</v>
      </c>
      <c r="F1003" s="3" t="s">
        <v>58</v>
      </c>
      <c r="G1003" s="3" t="s">
        <v>59</v>
      </c>
      <c r="H1003" s="3" t="s">
        <v>58</v>
      </c>
      <c r="I1003" s="3" t="s">
        <v>58</v>
      </c>
      <c r="J1003" s="3" t="s">
        <v>60</v>
      </c>
      <c r="K1003" s="2" t="s">
        <v>8973</v>
      </c>
      <c r="L1003" s="2" t="s">
        <v>12618</v>
      </c>
      <c r="M1003" s="3" t="s">
        <v>144</v>
      </c>
      <c r="N1003" s="2" t="s">
        <v>12619</v>
      </c>
      <c r="O1003" s="3" t="s">
        <v>65</v>
      </c>
      <c r="P1003" s="3" t="s">
        <v>66</v>
      </c>
      <c r="R1003" s="3" t="s">
        <v>68</v>
      </c>
      <c r="S1003" s="4">
        <v>1</v>
      </c>
      <c r="T1003" s="4">
        <v>1</v>
      </c>
      <c r="U1003" s="5" t="s">
        <v>12620</v>
      </c>
      <c r="V1003" s="5" t="s">
        <v>12620</v>
      </c>
      <c r="W1003" s="5" t="s">
        <v>4348</v>
      </c>
      <c r="X1003" s="5" t="s">
        <v>4348</v>
      </c>
      <c r="Y1003" s="4">
        <v>147</v>
      </c>
      <c r="Z1003" s="4">
        <v>65</v>
      </c>
      <c r="AA1003" s="4">
        <v>81</v>
      </c>
      <c r="AB1003" s="4">
        <v>1</v>
      </c>
      <c r="AC1003" s="4">
        <v>1</v>
      </c>
      <c r="AD1003" s="4">
        <v>5</v>
      </c>
      <c r="AE1003" s="4">
        <v>5</v>
      </c>
      <c r="AF1003" s="4">
        <v>1</v>
      </c>
      <c r="AG1003" s="4">
        <v>1</v>
      </c>
      <c r="AH1003" s="4">
        <v>1</v>
      </c>
      <c r="AI1003" s="4">
        <v>1</v>
      </c>
      <c r="AJ1003" s="4">
        <v>3</v>
      </c>
      <c r="AK1003" s="4">
        <v>3</v>
      </c>
      <c r="AL1003" s="4">
        <v>0</v>
      </c>
      <c r="AM1003" s="4">
        <v>0</v>
      </c>
      <c r="AN1003" s="4">
        <v>0</v>
      </c>
      <c r="AO1003" s="4">
        <v>0</v>
      </c>
      <c r="AP1003" s="3" t="s">
        <v>58</v>
      </c>
      <c r="AQ1003" s="3" t="s">
        <v>58</v>
      </c>
      <c r="AS1003" s="6" t="str">
        <f>HYPERLINK("https://creighton-primo.hosted.exlibrisgroup.com/primo-explore/search?tab=default_tab&amp;search_scope=EVERYTHING&amp;vid=01CRU&amp;lang=en_US&amp;offset=0&amp;query=any,contains,991004519999702656","Catalog Record")</f>
        <v>Catalog Record</v>
      </c>
      <c r="AT1003" s="6" t="str">
        <f>HYPERLINK("http://www.worldcat.org/oclc/3809942","WorldCat Record")</f>
        <v>WorldCat Record</v>
      </c>
      <c r="AU1003" s="3" t="s">
        <v>12621</v>
      </c>
      <c r="AV1003" s="3" t="s">
        <v>12622</v>
      </c>
      <c r="AW1003" s="3" t="s">
        <v>12623</v>
      </c>
      <c r="AX1003" s="3" t="s">
        <v>12623</v>
      </c>
      <c r="AY1003" s="3" t="s">
        <v>12624</v>
      </c>
      <c r="AZ1003" s="3" t="s">
        <v>75</v>
      </c>
      <c r="BB1003" s="3" t="s">
        <v>12625</v>
      </c>
      <c r="BC1003" s="3" t="s">
        <v>12626</v>
      </c>
      <c r="BD1003" s="3" t="s">
        <v>12627</v>
      </c>
    </row>
    <row r="1004" spans="1:56" ht="39" customHeight="1" x14ac:dyDescent="0.25">
      <c r="A1004" s="7" t="s">
        <v>58</v>
      </c>
      <c r="B1004" s="2" t="s">
        <v>12628</v>
      </c>
      <c r="C1004" s="2" t="s">
        <v>12629</v>
      </c>
      <c r="D1004" s="2" t="s">
        <v>12630</v>
      </c>
      <c r="F1004" s="3" t="s">
        <v>58</v>
      </c>
      <c r="G1004" s="3" t="s">
        <v>59</v>
      </c>
      <c r="H1004" s="3" t="s">
        <v>58</v>
      </c>
      <c r="I1004" s="3" t="s">
        <v>58</v>
      </c>
      <c r="J1004" s="3" t="s">
        <v>60</v>
      </c>
      <c r="K1004" s="2" t="s">
        <v>7506</v>
      </c>
      <c r="L1004" s="2" t="s">
        <v>9078</v>
      </c>
      <c r="M1004" s="3" t="s">
        <v>670</v>
      </c>
      <c r="O1004" s="3" t="s">
        <v>65</v>
      </c>
      <c r="P1004" s="3" t="s">
        <v>84</v>
      </c>
      <c r="Q1004" s="2" t="s">
        <v>12631</v>
      </c>
      <c r="R1004" s="3" t="s">
        <v>68</v>
      </c>
      <c r="S1004" s="4">
        <v>6</v>
      </c>
      <c r="T1004" s="4">
        <v>6</v>
      </c>
      <c r="U1004" s="5" t="s">
        <v>12632</v>
      </c>
      <c r="V1004" s="5" t="s">
        <v>12632</v>
      </c>
      <c r="W1004" s="5" t="s">
        <v>12633</v>
      </c>
      <c r="X1004" s="5" t="s">
        <v>12633</v>
      </c>
      <c r="Y1004" s="4">
        <v>428</v>
      </c>
      <c r="Z1004" s="4">
        <v>370</v>
      </c>
      <c r="AA1004" s="4">
        <v>375</v>
      </c>
      <c r="AB1004" s="4">
        <v>4</v>
      </c>
      <c r="AC1004" s="4">
        <v>4</v>
      </c>
      <c r="AD1004" s="4">
        <v>31</v>
      </c>
      <c r="AE1004" s="4">
        <v>31</v>
      </c>
      <c r="AF1004" s="4">
        <v>12</v>
      </c>
      <c r="AG1004" s="4">
        <v>12</v>
      </c>
      <c r="AH1004" s="4">
        <v>6</v>
      </c>
      <c r="AI1004" s="4">
        <v>6</v>
      </c>
      <c r="AJ1004" s="4">
        <v>20</v>
      </c>
      <c r="AK1004" s="4">
        <v>20</v>
      </c>
      <c r="AL1004" s="4">
        <v>3</v>
      </c>
      <c r="AM1004" s="4">
        <v>3</v>
      </c>
      <c r="AN1004" s="4">
        <v>0</v>
      </c>
      <c r="AO1004" s="4">
        <v>0</v>
      </c>
      <c r="AP1004" s="3" t="s">
        <v>58</v>
      </c>
      <c r="AQ1004" s="3" t="s">
        <v>132</v>
      </c>
      <c r="AR1004" s="6" t="str">
        <f>HYPERLINK("http://catalog.hathitrust.org/Record/006018539","HathiTrust Record")</f>
        <v>HathiTrust Record</v>
      </c>
      <c r="AS1004" s="6" t="str">
        <f>HYPERLINK("https://creighton-primo.hosted.exlibrisgroup.com/primo-explore/search?tab=default_tab&amp;search_scope=EVERYTHING&amp;vid=01CRU&amp;lang=en_US&amp;offset=0&amp;query=any,contains,991000268539702656","Catalog Record")</f>
        <v>Catalog Record</v>
      </c>
      <c r="AT1004" s="6" t="str">
        <f>HYPERLINK("http://www.worldcat.org/oclc/68434","WorldCat Record")</f>
        <v>WorldCat Record</v>
      </c>
      <c r="AU1004" s="3" t="s">
        <v>12634</v>
      </c>
      <c r="AV1004" s="3" t="s">
        <v>12635</v>
      </c>
      <c r="AW1004" s="3" t="s">
        <v>12636</v>
      </c>
      <c r="AX1004" s="3" t="s">
        <v>12636</v>
      </c>
      <c r="AY1004" s="3" t="s">
        <v>12637</v>
      </c>
      <c r="AZ1004" s="3" t="s">
        <v>75</v>
      </c>
      <c r="BB1004" s="3" t="s">
        <v>12638</v>
      </c>
      <c r="BC1004" s="3" t="s">
        <v>12639</v>
      </c>
      <c r="BD1004" s="3" t="s">
        <v>12640</v>
      </c>
    </row>
    <row r="1005" spans="1:56" ht="39" customHeight="1" x14ac:dyDescent="0.25">
      <c r="A1005" s="7" t="s">
        <v>58</v>
      </c>
      <c r="B1005" s="2" t="s">
        <v>12641</v>
      </c>
      <c r="C1005" s="2" t="s">
        <v>12642</v>
      </c>
      <c r="D1005" s="2" t="s">
        <v>12643</v>
      </c>
      <c r="F1005" s="3" t="s">
        <v>58</v>
      </c>
      <c r="G1005" s="3" t="s">
        <v>59</v>
      </c>
      <c r="H1005" s="3" t="s">
        <v>58</v>
      </c>
      <c r="I1005" s="3" t="s">
        <v>58</v>
      </c>
      <c r="J1005" s="3" t="s">
        <v>60</v>
      </c>
      <c r="K1005" s="2" t="s">
        <v>12644</v>
      </c>
      <c r="L1005" s="2" t="s">
        <v>12645</v>
      </c>
      <c r="M1005" s="3" t="s">
        <v>1046</v>
      </c>
      <c r="O1005" s="3" t="s">
        <v>65</v>
      </c>
      <c r="P1005" s="3" t="s">
        <v>477</v>
      </c>
      <c r="R1005" s="3" t="s">
        <v>68</v>
      </c>
      <c r="S1005" s="4">
        <v>4</v>
      </c>
      <c r="T1005" s="4">
        <v>4</v>
      </c>
      <c r="U1005" s="5" t="s">
        <v>12646</v>
      </c>
      <c r="V1005" s="5" t="s">
        <v>12646</v>
      </c>
      <c r="W1005" s="5" t="s">
        <v>4348</v>
      </c>
      <c r="X1005" s="5" t="s">
        <v>4348</v>
      </c>
      <c r="Y1005" s="4">
        <v>261</v>
      </c>
      <c r="Z1005" s="4">
        <v>216</v>
      </c>
      <c r="AA1005" s="4">
        <v>228</v>
      </c>
      <c r="AB1005" s="4">
        <v>3</v>
      </c>
      <c r="AC1005" s="4">
        <v>3</v>
      </c>
      <c r="AD1005" s="4">
        <v>27</v>
      </c>
      <c r="AE1005" s="4">
        <v>27</v>
      </c>
      <c r="AF1005" s="4">
        <v>10</v>
      </c>
      <c r="AG1005" s="4">
        <v>10</v>
      </c>
      <c r="AH1005" s="4">
        <v>6</v>
      </c>
      <c r="AI1005" s="4">
        <v>6</v>
      </c>
      <c r="AJ1005" s="4">
        <v>19</v>
      </c>
      <c r="AK1005" s="4">
        <v>19</v>
      </c>
      <c r="AL1005" s="4">
        <v>1</v>
      </c>
      <c r="AM1005" s="4">
        <v>1</v>
      </c>
      <c r="AN1005" s="4">
        <v>0</v>
      </c>
      <c r="AO1005" s="4">
        <v>0</v>
      </c>
      <c r="AP1005" s="3" t="s">
        <v>58</v>
      </c>
      <c r="AQ1005" s="3" t="s">
        <v>58</v>
      </c>
      <c r="AS1005" s="6" t="str">
        <f>HYPERLINK("https://creighton-primo.hosted.exlibrisgroup.com/primo-explore/search?tab=default_tab&amp;search_scope=EVERYTHING&amp;vid=01CRU&amp;lang=en_US&amp;offset=0&amp;query=any,contains,991000865859702656","Catalog Record")</f>
        <v>Catalog Record</v>
      </c>
      <c r="AT1005" s="6" t="str">
        <f>HYPERLINK("http://www.worldcat.org/oclc/15195665","WorldCat Record")</f>
        <v>WorldCat Record</v>
      </c>
      <c r="AU1005" s="3" t="s">
        <v>12647</v>
      </c>
      <c r="AV1005" s="3" t="s">
        <v>12648</v>
      </c>
      <c r="AW1005" s="3" t="s">
        <v>12649</v>
      </c>
      <c r="AX1005" s="3" t="s">
        <v>12649</v>
      </c>
      <c r="AY1005" s="3" t="s">
        <v>12650</v>
      </c>
      <c r="AZ1005" s="3" t="s">
        <v>75</v>
      </c>
      <c r="BB1005" s="3" t="s">
        <v>12651</v>
      </c>
      <c r="BC1005" s="3" t="s">
        <v>12652</v>
      </c>
      <c r="BD1005" s="3" t="s">
        <v>12653</v>
      </c>
    </row>
    <row r="1006" spans="1:56" ht="39" customHeight="1" x14ac:dyDescent="0.25">
      <c r="A1006" s="7" t="s">
        <v>58</v>
      </c>
      <c r="B1006" s="2" t="s">
        <v>12654</v>
      </c>
      <c r="C1006" s="2" t="s">
        <v>12655</v>
      </c>
      <c r="D1006" s="2" t="s">
        <v>12656</v>
      </c>
      <c r="F1006" s="3" t="s">
        <v>58</v>
      </c>
      <c r="G1006" s="3" t="s">
        <v>59</v>
      </c>
      <c r="H1006" s="3" t="s">
        <v>58</v>
      </c>
      <c r="I1006" s="3" t="s">
        <v>58</v>
      </c>
      <c r="J1006" s="3" t="s">
        <v>60</v>
      </c>
      <c r="K1006" s="2" t="s">
        <v>12657</v>
      </c>
      <c r="L1006" s="2" t="s">
        <v>12658</v>
      </c>
      <c r="M1006" s="3" t="s">
        <v>83</v>
      </c>
      <c r="O1006" s="3" t="s">
        <v>65</v>
      </c>
      <c r="P1006" s="3" t="s">
        <v>186</v>
      </c>
      <c r="R1006" s="3" t="s">
        <v>68</v>
      </c>
      <c r="S1006" s="4">
        <v>3</v>
      </c>
      <c r="T1006" s="4">
        <v>3</v>
      </c>
      <c r="U1006" s="5" t="s">
        <v>12659</v>
      </c>
      <c r="V1006" s="5" t="s">
        <v>12659</v>
      </c>
      <c r="W1006" s="5" t="s">
        <v>4348</v>
      </c>
      <c r="X1006" s="5" t="s">
        <v>4348</v>
      </c>
      <c r="Y1006" s="4">
        <v>508</v>
      </c>
      <c r="Z1006" s="4">
        <v>465</v>
      </c>
      <c r="AA1006" s="4">
        <v>487</v>
      </c>
      <c r="AB1006" s="4">
        <v>1</v>
      </c>
      <c r="AC1006" s="4">
        <v>1</v>
      </c>
      <c r="AD1006" s="4">
        <v>34</v>
      </c>
      <c r="AE1006" s="4">
        <v>34</v>
      </c>
      <c r="AF1006" s="4">
        <v>12</v>
      </c>
      <c r="AG1006" s="4">
        <v>12</v>
      </c>
      <c r="AH1006" s="4">
        <v>9</v>
      </c>
      <c r="AI1006" s="4">
        <v>9</v>
      </c>
      <c r="AJ1006" s="4">
        <v>24</v>
      </c>
      <c r="AK1006" s="4">
        <v>24</v>
      </c>
      <c r="AL1006" s="4">
        <v>0</v>
      </c>
      <c r="AM1006" s="4">
        <v>0</v>
      </c>
      <c r="AN1006" s="4">
        <v>0</v>
      </c>
      <c r="AO1006" s="4">
        <v>0</v>
      </c>
      <c r="AP1006" s="3" t="s">
        <v>58</v>
      </c>
      <c r="AQ1006" s="3" t="s">
        <v>132</v>
      </c>
      <c r="AR1006" s="6" t="str">
        <f>HYPERLINK("http://catalog.hathitrust.org/Record/001413293","HathiTrust Record")</f>
        <v>HathiTrust Record</v>
      </c>
      <c r="AS1006" s="6" t="str">
        <f>HYPERLINK("https://creighton-primo.hosted.exlibrisgroup.com/primo-explore/search?tab=default_tab&amp;search_scope=EVERYTHING&amp;vid=01CRU&amp;lang=en_US&amp;offset=0&amp;query=any,contains,991002644579702656","Catalog Record")</f>
        <v>Catalog Record</v>
      </c>
      <c r="AT1006" s="6" t="str">
        <f>HYPERLINK("http://www.worldcat.org/oclc/385427","WorldCat Record")</f>
        <v>WorldCat Record</v>
      </c>
      <c r="AU1006" s="3" t="s">
        <v>12660</v>
      </c>
      <c r="AV1006" s="3" t="s">
        <v>12661</v>
      </c>
      <c r="AW1006" s="3" t="s">
        <v>12662</v>
      </c>
      <c r="AX1006" s="3" t="s">
        <v>12662</v>
      </c>
      <c r="AY1006" s="3" t="s">
        <v>12663</v>
      </c>
      <c r="AZ1006" s="3" t="s">
        <v>75</v>
      </c>
      <c r="BC1006" s="3" t="s">
        <v>12664</v>
      </c>
      <c r="BD1006" s="3" t="s">
        <v>12665</v>
      </c>
    </row>
    <row r="1007" spans="1:56" ht="39" customHeight="1" x14ac:dyDescent="0.25">
      <c r="A1007" s="7" t="s">
        <v>58</v>
      </c>
      <c r="B1007" s="2" t="s">
        <v>12666</v>
      </c>
      <c r="C1007" s="2" t="s">
        <v>12667</v>
      </c>
      <c r="D1007" s="2" t="s">
        <v>12668</v>
      </c>
      <c r="F1007" s="3" t="s">
        <v>58</v>
      </c>
      <c r="G1007" s="3" t="s">
        <v>59</v>
      </c>
      <c r="H1007" s="3" t="s">
        <v>58</v>
      </c>
      <c r="I1007" s="3" t="s">
        <v>58</v>
      </c>
      <c r="J1007" s="3" t="s">
        <v>60</v>
      </c>
      <c r="L1007" s="2" t="s">
        <v>12669</v>
      </c>
      <c r="M1007" s="3" t="s">
        <v>273</v>
      </c>
      <c r="O1007" s="3" t="s">
        <v>65</v>
      </c>
      <c r="P1007" s="3" t="s">
        <v>12670</v>
      </c>
      <c r="R1007" s="3" t="s">
        <v>68</v>
      </c>
      <c r="S1007" s="4">
        <v>6</v>
      </c>
      <c r="T1007" s="4">
        <v>6</v>
      </c>
      <c r="U1007" s="5" t="s">
        <v>12671</v>
      </c>
      <c r="V1007" s="5" t="s">
        <v>12671</v>
      </c>
      <c r="W1007" s="5" t="s">
        <v>12672</v>
      </c>
      <c r="X1007" s="5" t="s">
        <v>12672</v>
      </c>
      <c r="Y1007" s="4">
        <v>21</v>
      </c>
      <c r="Z1007" s="4">
        <v>7</v>
      </c>
      <c r="AA1007" s="4">
        <v>27</v>
      </c>
      <c r="AB1007" s="4">
        <v>1</v>
      </c>
      <c r="AC1007" s="4">
        <v>1</v>
      </c>
      <c r="AD1007" s="4">
        <v>1</v>
      </c>
      <c r="AE1007" s="4">
        <v>4</v>
      </c>
      <c r="AF1007" s="4">
        <v>0</v>
      </c>
      <c r="AG1007" s="4">
        <v>0</v>
      </c>
      <c r="AH1007" s="4">
        <v>1</v>
      </c>
      <c r="AI1007" s="4">
        <v>3</v>
      </c>
      <c r="AJ1007" s="4">
        <v>1</v>
      </c>
      <c r="AK1007" s="4">
        <v>3</v>
      </c>
      <c r="AL1007" s="4">
        <v>0</v>
      </c>
      <c r="AM1007" s="4">
        <v>0</v>
      </c>
      <c r="AN1007" s="4">
        <v>0</v>
      </c>
      <c r="AO1007" s="4">
        <v>0</v>
      </c>
      <c r="AP1007" s="3" t="s">
        <v>58</v>
      </c>
      <c r="AQ1007" s="3" t="s">
        <v>58</v>
      </c>
      <c r="AS1007" s="6" t="str">
        <f>HYPERLINK("https://creighton-primo.hosted.exlibrisgroup.com/primo-explore/search?tab=default_tab&amp;search_scope=EVERYTHING&amp;vid=01CRU&amp;lang=en_US&amp;offset=0&amp;query=any,contains,991002412689702656","Catalog Record")</f>
        <v>Catalog Record</v>
      </c>
      <c r="AT1007" s="6" t="str">
        <f>HYPERLINK("http://www.worldcat.org/oclc/31409362","WorldCat Record")</f>
        <v>WorldCat Record</v>
      </c>
      <c r="AU1007" s="3" t="s">
        <v>12673</v>
      </c>
      <c r="AV1007" s="3" t="s">
        <v>12674</v>
      </c>
      <c r="AW1007" s="3" t="s">
        <v>12675</v>
      </c>
      <c r="AX1007" s="3" t="s">
        <v>12675</v>
      </c>
      <c r="AY1007" s="3" t="s">
        <v>12676</v>
      </c>
      <c r="AZ1007" s="3" t="s">
        <v>75</v>
      </c>
      <c r="BB1007" s="3" t="s">
        <v>12677</v>
      </c>
      <c r="BC1007" s="3" t="s">
        <v>12678</v>
      </c>
      <c r="BD1007" s="3" t="s">
        <v>12679</v>
      </c>
    </row>
    <row r="1008" spans="1:56" ht="39" customHeight="1" x14ac:dyDescent="0.25">
      <c r="A1008" s="7" t="s">
        <v>58</v>
      </c>
      <c r="B1008" s="2" t="s">
        <v>12680</v>
      </c>
      <c r="C1008" s="2" t="s">
        <v>12681</v>
      </c>
      <c r="D1008" s="2" t="s">
        <v>12682</v>
      </c>
      <c r="F1008" s="3" t="s">
        <v>58</v>
      </c>
      <c r="G1008" s="3" t="s">
        <v>59</v>
      </c>
      <c r="H1008" s="3" t="s">
        <v>58</v>
      </c>
      <c r="I1008" s="3" t="s">
        <v>58</v>
      </c>
      <c r="J1008" s="3" t="s">
        <v>60</v>
      </c>
      <c r="K1008" s="2" t="s">
        <v>12683</v>
      </c>
      <c r="L1008" s="2" t="s">
        <v>12684</v>
      </c>
      <c r="M1008" s="3" t="s">
        <v>374</v>
      </c>
      <c r="O1008" s="3" t="s">
        <v>65</v>
      </c>
      <c r="P1008" s="3" t="s">
        <v>66</v>
      </c>
      <c r="Q1008" s="2" t="s">
        <v>12685</v>
      </c>
      <c r="R1008" s="3" t="s">
        <v>68</v>
      </c>
      <c r="S1008" s="4">
        <v>3</v>
      </c>
      <c r="T1008" s="4">
        <v>3</v>
      </c>
      <c r="U1008" s="5" t="s">
        <v>12686</v>
      </c>
      <c r="V1008" s="5" t="s">
        <v>12686</v>
      </c>
      <c r="W1008" s="5" t="s">
        <v>12687</v>
      </c>
      <c r="X1008" s="5" t="s">
        <v>12687</v>
      </c>
      <c r="Y1008" s="4">
        <v>441</v>
      </c>
      <c r="Z1008" s="4">
        <v>337</v>
      </c>
      <c r="AA1008" s="4">
        <v>339</v>
      </c>
      <c r="AB1008" s="4">
        <v>3</v>
      </c>
      <c r="AC1008" s="4">
        <v>3</v>
      </c>
      <c r="AD1008" s="4">
        <v>31</v>
      </c>
      <c r="AE1008" s="4">
        <v>31</v>
      </c>
      <c r="AF1008" s="4">
        <v>9</v>
      </c>
      <c r="AG1008" s="4">
        <v>9</v>
      </c>
      <c r="AH1008" s="4">
        <v>9</v>
      </c>
      <c r="AI1008" s="4">
        <v>9</v>
      </c>
      <c r="AJ1008" s="4">
        <v>20</v>
      </c>
      <c r="AK1008" s="4">
        <v>20</v>
      </c>
      <c r="AL1008" s="4">
        <v>2</v>
      </c>
      <c r="AM1008" s="4">
        <v>2</v>
      </c>
      <c r="AN1008" s="4">
        <v>1</v>
      </c>
      <c r="AO1008" s="4">
        <v>1</v>
      </c>
      <c r="AP1008" s="3" t="s">
        <v>58</v>
      </c>
      <c r="AQ1008" s="3" t="s">
        <v>58</v>
      </c>
      <c r="AS1008" s="6" t="str">
        <f>HYPERLINK("https://creighton-primo.hosted.exlibrisgroup.com/primo-explore/search?tab=default_tab&amp;search_scope=EVERYTHING&amp;vid=01CRU&amp;lang=en_US&amp;offset=0&amp;query=any,contains,991002426269702656","Catalog Record")</f>
        <v>Catalog Record</v>
      </c>
      <c r="AT1008" s="6" t="str">
        <f>HYPERLINK("http://www.worldcat.org/oclc/31608245","WorldCat Record")</f>
        <v>WorldCat Record</v>
      </c>
      <c r="AU1008" s="3" t="s">
        <v>12688</v>
      </c>
      <c r="AV1008" s="3" t="s">
        <v>12689</v>
      </c>
      <c r="AW1008" s="3" t="s">
        <v>12690</v>
      </c>
      <c r="AX1008" s="3" t="s">
        <v>12690</v>
      </c>
      <c r="AY1008" s="3" t="s">
        <v>12691</v>
      </c>
      <c r="AZ1008" s="3" t="s">
        <v>75</v>
      </c>
      <c r="BB1008" s="3" t="s">
        <v>12692</v>
      </c>
      <c r="BC1008" s="3" t="s">
        <v>12693</v>
      </c>
      <c r="BD1008" s="3" t="s">
        <v>12694</v>
      </c>
    </row>
    <row r="1009" spans="1:56" ht="39" customHeight="1" x14ac:dyDescent="0.25">
      <c r="A1009" s="7" t="s">
        <v>58</v>
      </c>
      <c r="B1009" s="2" t="s">
        <v>12695</v>
      </c>
      <c r="C1009" s="2" t="s">
        <v>12696</v>
      </c>
      <c r="D1009" s="2" t="s">
        <v>12697</v>
      </c>
      <c r="F1009" s="3" t="s">
        <v>58</v>
      </c>
      <c r="G1009" s="3" t="s">
        <v>59</v>
      </c>
      <c r="H1009" s="3" t="s">
        <v>58</v>
      </c>
      <c r="I1009" s="3" t="s">
        <v>58</v>
      </c>
      <c r="J1009" s="3" t="s">
        <v>60</v>
      </c>
      <c r="K1009" s="2" t="s">
        <v>12698</v>
      </c>
      <c r="L1009" s="2" t="s">
        <v>12699</v>
      </c>
      <c r="M1009" s="3" t="s">
        <v>2179</v>
      </c>
      <c r="O1009" s="3" t="s">
        <v>65</v>
      </c>
      <c r="P1009" s="3" t="s">
        <v>1358</v>
      </c>
      <c r="Q1009" s="2" t="s">
        <v>12700</v>
      </c>
      <c r="R1009" s="3" t="s">
        <v>68</v>
      </c>
      <c r="S1009" s="4">
        <v>7</v>
      </c>
      <c r="T1009" s="4">
        <v>7</v>
      </c>
      <c r="U1009" s="5" t="s">
        <v>12701</v>
      </c>
      <c r="V1009" s="5" t="s">
        <v>12701</v>
      </c>
      <c r="W1009" s="5" t="s">
        <v>4348</v>
      </c>
      <c r="X1009" s="5" t="s">
        <v>4348</v>
      </c>
      <c r="Y1009" s="4">
        <v>175</v>
      </c>
      <c r="Z1009" s="4">
        <v>154</v>
      </c>
      <c r="AA1009" s="4">
        <v>326</v>
      </c>
      <c r="AB1009" s="4">
        <v>2</v>
      </c>
      <c r="AC1009" s="4">
        <v>4</v>
      </c>
      <c r="AD1009" s="4">
        <v>21</v>
      </c>
      <c r="AE1009" s="4">
        <v>31</v>
      </c>
      <c r="AF1009" s="4">
        <v>8</v>
      </c>
      <c r="AG1009" s="4">
        <v>10</v>
      </c>
      <c r="AH1009" s="4">
        <v>5</v>
      </c>
      <c r="AI1009" s="4">
        <v>6</v>
      </c>
      <c r="AJ1009" s="4">
        <v>14</v>
      </c>
      <c r="AK1009" s="4">
        <v>14</v>
      </c>
      <c r="AL1009" s="4">
        <v>0</v>
      </c>
      <c r="AM1009" s="4">
        <v>1</v>
      </c>
      <c r="AN1009" s="4">
        <v>1</v>
      </c>
      <c r="AO1009" s="4">
        <v>8</v>
      </c>
      <c r="AP1009" s="3" t="s">
        <v>132</v>
      </c>
      <c r="AQ1009" s="3" t="s">
        <v>58</v>
      </c>
      <c r="AR1009" s="6" t="str">
        <f>HYPERLINK("http://catalog.hathitrust.org/Record/003780545","HathiTrust Record")</f>
        <v>HathiTrust Record</v>
      </c>
      <c r="AS1009" s="6" t="str">
        <f>HYPERLINK("https://creighton-primo.hosted.exlibrisgroup.com/primo-explore/search?tab=default_tab&amp;search_scope=EVERYTHING&amp;vid=01CRU&amp;lang=en_US&amp;offset=0&amp;query=any,contains,991002286389702656","Catalog Record")</f>
        <v>Catalog Record</v>
      </c>
      <c r="AT1009" s="6" t="str">
        <f>HYPERLINK("http://www.worldcat.org/oclc/311614","WorldCat Record")</f>
        <v>WorldCat Record</v>
      </c>
      <c r="AU1009" s="3" t="s">
        <v>12702</v>
      </c>
      <c r="AV1009" s="3" t="s">
        <v>12703</v>
      </c>
      <c r="AW1009" s="3" t="s">
        <v>12704</v>
      </c>
      <c r="AX1009" s="3" t="s">
        <v>12704</v>
      </c>
      <c r="AY1009" s="3" t="s">
        <v>12705</v>
      </c>
      <c r="AZ1009" s="3" t="s">
        <v>75</v>
      </c>
      <c r="BC1009" s="3" t="s">
        <v>12706</v>
      </c>
      <c r="BD1009" s="3" t="s">
        <v>12707</v>
      </c>
    </row>
    <row r="1010" spans="1:56" ht="39" customHeight="1" x14ac:dyDescent="0.25">
      <c r="A1010" s="7" t="s">
        <v>58</v>
      </c>
      <c r="B1010" s="2" t="s">
        <v>12708</v>
      </c>
      <c r="C1010" s="2" t="s">
        <v>12709</v>
      </c>
      <c r="D1010" s="2" t="s">
        <v>12710</v>
      </c>
      <c r="E1010" s="3" t="s">
        <v>1925</v>
      </c>
      <c r="F1010" s="3" t="s">
        <v>132</v>
      </c>
      <c r="G1010" s="3" t="s">
        <v>59</v>
      </c>
      <c r="H1010" s="3" t="s">
        <v>58</v>
      </c>
      <c r="I1010" s="3" t="s">
        <v>58</v>
      </c>
      <c r="J1010" s="3" t="s">
        <v>60</v>
      </c>
      <c r="K1010" s="2" t="s">
        <v>12711</v>
      </c>
      <c r="L1010" s="2" t="s">
        <v>12712</v>
      </c>
      <c r="M1010" s="3" t="s">
        <v>4503</v>
      </c>
      <c r="N1010" s="2" t="s">
        <v>12713</v>
      </c>
      <c r="O1010" s="3" t="s">
        <v>1490</v>
      </c>
      <c r="P1010" s="3" t="s">
        <v>5465</v>
      </c>
      <c r="R1010" s="3" t="s">
        <v>68</v>
      </c>
      <c r="S1010" s="4">
        <v>0</v>
      </c>
      <c r="T1010" s="4">
        <v>1</v>
      </c>
      <c r="V1010" s="5" t="s">
        <v>12714</v>
      </c>
      <c r="W1010" s="5" t="s">
        <v>4348</v>
      </c>
      <c r="X1010" s="5" t="s">
        <v>4348</v>
      </c>
      <c r="Y1010" s="4">
        <v>295</v>
      </c>
      <c r="Z1010" s="4">
        <v>218</v>
      </c>
      <c r="AA1010" s="4">
        <v>269</v>
      </c>
      <c r="AB1010" s="4">
        <v>2</v>
      </c>
      <c r="AC1010" s="4">
        <v>2</v>
      </c>
      <c r="AD1010" s="4">
        <v>20</v>
      </c>
      <c r="AE1010" s="4">
        <v>24</v>
      </c>
      <c r="AF1010" s="4">
        <v>4</v>
      </c>
      <c r="AG1010" s="4">
        <v>4</v>
      </c>
      <c r="AH1010" s="4">
        <v>6</v>
      </c>
      <c r="AI1010" s="4">
        <v>9</v>
      </c>
      <c r="AJ1010" s="4">
        <v>15</v>
      </c>
      <c r="AK1010" s="4">
        <v>17</v>
      </c>
      <c r="AL1010" s="4">
        <v>1</v>
      </c>
      <c r="AM1010" s="4">
        <v>1</v>
      </c>
      <c r="AN1010" s="4">
        <v>0</v>
      </c>
      <c r="AO1010" s="4">
        <v>0</v>
      </c>
      <c r="AP1010" s="3" t="s">
        <v>58</v>
      </c>
      <c r="AQ1010" s="3" t="s">
        <v>132</v>
      </c>
      <c r="AR1010" s="6" t="str">
        <f>HYPERLINK("http://catalog.hathitrust.org/Record/000119562","HathiTrust Record")</f>
        <v>HathiTrust Record</v>
      </c>
      <c r="AS1010" s="6" t="str">
        <f>HYPERLINK("https://creighton-primo.hosted.exlibrisgroup.com/primo-explore/search?tab=default_tab&amp;search_scope=EVERYTHING&amp;vid=01CRU&amp;lang=en_US&amp;offset=0&amp;query=any,contains,991003996149702656","Catalog Record")</f>
        <v>Catalog Record</v>
      </c>
      <c r="AT1010" s="6" t="str">
        <f>HYPERLINK("http://www.worldcat.org/oclc/2061648","WorldCat Record")</f>
        <v>WorldCat Record</v>
      </c>
      <c r="AU1010" s="3" t="s">
        <v>12715</v>
      </c>
      <c r="AV1010" s="3" t="s">
        <v>12716</v>
      </c>
      <c r="AW1010" s="3" t="s">
        <v>12717</v>
      </c>
      <c r="AX1010" s="3" t="s">
        <v>12717</v>
      </c>
      <c r="AY1010" s="3" t="s">
        <v>12718</v>
      </c>
      <c r="AZ1010" s="3" t="s">
        <v>75</v>
      </c>
      <c r="BC1010" s="3" t="s">
        <v>12719</v>
      </c>
      <c r="BD1010" s="3" t="s">
        <v>12720</v>
      </c>
    </row>
    <row r="1011" spans="1:56" ht="39" customHeight="1" x14ac:dyDescent="0.25">
      <c r="A1011" s="7" t="s">
        <v>58</v>
      </c>
      <c r="B1011" s="2" t="s">
        <v>12708</v>
      </c>
      <c r="C1011" s="2" t="s">
        <v>12709</v>
      </c>
      <c r="D1011" s="2" t="s">
        <v>12710</v>
      </c>
      <c r="E1011" s="3" t="s">
        <v>1928</v>
      </c>
      <c r="F1011" s="3" t="s">
        <v>132</v>
      </c>
      <c r="G1011" s="3" t="s">
        <v>59</v>
      </c>
      <c r="H1011" s="3" t="s">
        <v>58</v>
      </c>
      <c r="I1011" s="3" t="s">
        <v>58</v>
      </c>
      <c r="J1011" s="3" t="s">
        <v>60</v>
      </c>
      <c r="K1011" s="2" t="s">
        <v>12711</v>
      </c>
      <c r="L1011" s="2" t="s">
        <v>12712</v>
      </c>
      <c r="M1011" s="3" t="s">
        <v>4503</v>
      </c>
      <c r="N1011" s="2" t="s">
        <v>12713</v>
      </c>
      <c r="O1011" s="3" t="s">
        <v>1490</v>
      </c>
      <c r="P1011" s="3" t="s">
        <v>5465</v>
      </c>
      <c r="R1011" s="3" t="s">
        <v>68</v>
      </c>
      <c r="S1011" s="4">
        <v>0</v>
      </c>
      <c r="T1011" s="4">
        <v>1</v>
      </c>
      <c r="V1011" s="5" t="s">
        <v>12714</v>
      </c>
      <c r="W1011" s="5" t="s">
        <v>4348</v>
      </c>
      <c r="X1011" s="5" t="s">
        <v>4348</v>
      </c>
      <c r="Y1011" s="4">
        <v>295</v>
      </c>
      <c r="Z1011" s="4">
        <v>218</v>
      </c>
      <c r="AA1011" s="4">
        <v>269</v>
      </c>
      <c r="AB1011" s="4">
        <v>2</v>
      </c>
      <c r="AC1011" s="4">
        <v>2</v>
      </c>
      <c r="AD1011" s="4">
        <v>20</v>
      </c>
      <c r="AE1011" s="4">
        <v>24</v>
      </c>
      <c r="AF1011" s="4">
        <v>4</v>
      </c>
      <c r="AG1011" s="4">
        <v>4</v>
      </c>
      <c r="AH1011" s="4">
        <v>6</v>
      </c>
      <c r="AI1011" s="4">
        <v>9</v>
      </c>
      <c r="AJ1011" s="4">
        <v>15</v>
      </c>
      <c r="AK1011" s="4">
        <v>17</v>
      </c>
      <c r="AL1011" s="4">
        <v>1</v>
      </c>
      <c r="AM1011" s="4">
        <v>1</v>
      </c>
      <c r="AN1011" s="4">
        <v>0</v>
      </c>
      <c r="AO1011" s="4">
        <v>0</v>
      </c>
      <c r="AP1011" s="3" t="s">
        <v>58</v>
      </c>
      <c r="AQ1011" s="3" t="s">
        <v>132</v>
      </c>
      <c r="AR1011" s="6" t="str">
        <f>HYPERLINK("http://catalog.hathitrust.org/Record/000119562","HathiTrust Record")</f>
        <v>HathiTrust Record</v>
      </c>
      <c r="AS1011" s="6" t="str">
        <f>HYPERLINK("https://creighton-primo.hosted.exlibrisgroup.com/primo-explore/search?tab=default_tab&amp;search_scope=EVERYTHING&amp;vid=01CRU&amp;lang=en_US&amp;offset=0&amp;query=any,contains,991003996149702656","Catalog Record")</f>
        <v>Catalog Record</v>
      </c>
      <c r="AT1011" s="6" t="str">
        <f>HYPERLINK("http://www.worldcat.org/oclc/2061648","WorldCat Record")</f>
        <v>WorldCat Record</v>
      </c>
      <c r="AU1011" s="3" t="s">
        <v>12715</v>
      </c>
      <c r="AV1011" s="3" t="s">
        <v>12716</v>
      </c>
      <c r="AW1011" s="3" t="s">
        <v>12717</v>
      </c>
      <c r="AX1011" s="3" t="s">
        <v>12717</v>
      </c>
      <c r="AY1011" s="3" t="s">
        <v>12718</v>
      </c>
      <c r="AZ1011" s="3" t="s">
        <v>75</v>
      </c>
      <c r="BC1011" s="3" t="s">
        <v>12721</v>
      </c>
      <c r="BD1011" s="3" t="s">
        <v>12722</v>
      </c>
    </row>
    <row r="1012" spans="1:56" ht="39" customHeight="1" x14ac:dyDescent="0.25">
      <c r="A1012" s="7" t="s">
        <v>58</v>
      </c>
      <c r="B1012" s="2" t="s">
        <v>12708</v>
      </c>
      <c r="C1012" s="2" t="s">
        <v>12709</v>
      </c>
      <c r="D1012" s="2" t="s">
        <v>12710</v>
      </c>
      <c r="E1012" s="3" t="s">
        <v>1902</v>
      </c>
      <c r="F1012" s="3" t="s">
        <v>132</v>
      </c>
      <c r="G1012" s="3" t="s">
        <v>59</v>
      </c>
      <c r="H1012" s="3" t="s">
        <v>58</v>
      </c>
      <c r="I1012" s="3" t="s">
        <v>58</v>
      </c>
      <c r="J1012" s="3" t="s">
        <v>60</v>
      </c>
      <c r="K1012" s="2" t="s">
        <v>12711</v>
      </c>
      <c r="L1012" s="2" t="s">
        <v>12712</v>
      </c>
      <c r="M1012" s="3" t="s">
        <v>4503</v>
      </c>
      <c r="N1012" s="2" t="s">
        <v>12713</v>
      </c>
      <c r="O1012" s="3" t="s">
        <v>1490</v>
      </c>
      <c r="P1012" s="3" t="s">
        <v>5465</v>
      </c>
      <c r="R1012" s="3" t="s">
        <v>68</v>
      </c>
      <c r="S1012" s="4">
        <v>0</v>
      </c>
      <c r="T1012" s="4">
        <v>1</v>
      </c>
      <c r="V1012" s="5" t="s">
        <v>12714</v>
      </c>
      <c r="W1012" s="5" t="s">
        <v>4348</v>
      </c>
      <c r="X1012" s="5" t="s">
        <v>4348</v>
      </c>
      <c r="Y1012" s="4">
        <v>295</v>
      </c>
      <c r="Z1012" s="4">
        <v>218</v>
      </c>
      <c r="AA1012" s="4">
        <v>269</v>
      </c>
      <c r="AB1012" s="4">
        <v>2</v>
      </c>
      <c r="AC1012" s="4">
        <v>2</v>
      </c>
      <c r="AD1012" s="4">
        <v>20</v>
      </c>
      <c r="AE1012" s="4">
        <v>24</v>
      </c>
      <c r="AF1012" s="4">
        <v>4</v>
      </c>
      <c r="AG1012" s="4">
        <v>4</v>
      </c>
      <c r="AH1012" s="4">
        <v>6</v>
      </c>
      <c r="AI1012" s="4">
        <v>9</v>
      </c>
      <c r="AJ1012" s="4">
        <v>15</v>
      </c>
      <c r="AK1012" s="4">
        <v>17</v>
      </c>
      <c r="AL1012" s="4">
        <v>1</v>
      </c>
      <c r="AM1012" s="4">
        <v>1</v>
      </c>
      <c r="AN1012" s="4">
        <v>0</v>
      </c>
      <c r="AO1012" s="4">
        <v>0</v>
      </c>
      <c r="AP1012" s="3" t="s">
        <v>58</v>
      </c>
      <c r="AQ1012" s="3" t="s">
        <v>132</v>
      </c>
      <c r="AR1012" s="6" t="str">
        <f>HYPERLINK("http://catalog.hathitrust.org/Record/000119562","HathiTrust Record")</f>
        <v>HathiTrust Record</v>
      </c>
      <c r="AS1012" s="6" t="str">
        <f>HYPERLINK("https://creighton-primo.hosted.exlibrisgroup.com/primo-explore/search?tab=default_tab&amp;search_scope=EVERYTHING&amp;vid=01CRU&amp;lang=en_US&amp;offset=0&amp;query=any,contains,991003996149702656","Catalog Record")</f>
        <v>Catalog Record</v>
      </c>
      <c r="AT1012" s="6" t="str">
        <f>HYPERLINK("http://www.worldcat.org/oclc/2061648","WorldCat Record")</f>
        <v>WorldCat Record</v>
      </c>
      <c r="AU1012" s="3" t="s">
        <v>12715</v>
      </c>
      <c r="AV1012" s="3" t="s">
        <v>12716</v>
      </c>
      <c r="AW1012" s="3" t="s">
        <v>12717</v>
      </c>
      <c r="AX1012" s="3" t="s">
        <v>12717</v>
      </c>
      <c r="AY1012" s="3" t="s">
        <v>12718</v>
      </c>
      <c r="AZ1012" s="3" t="s">
        <v>75</v>
      </c>
      <c r="BC1012" s="3" t="s">
        <v>12723</v>
      </c>
      <c r="BD1012" s="3" t="s">
        <v>12724</v>
      </c>
    </row>
    <row r="1013" spans="1:56" ht="39" customHeight="1" x14ac:dyDescent="0.25">
      <c r="A1013" s="7" t="s">
        <v>58</v>
      </c>
      <c r="B1013" s="2" t="s">
        <v>12708</v>
      </c>
      <c r="C1013" s="2" t="s">
        <v>12709</v>
      </c>
      <c r="D1013" s="2" t="s">
        <v>12710</v>
      </c>
      <c r="E1013" s="3" t="s">
        <v>1913</v>
      </c>
      <c r="F1013" s="3" t="s">
        <v>132</v>
      </c>
      <c r="G1013" s="3" t="s">
        <v>59</v>
      </c>
      <c r="H1013" s="3" t="s">
        <v>58</v>
      </c>
      <c r="I1013" s="3" t="s">
        <v>58</v>
      </c>
      <c r="J1013" s="3" t="s">
        <v>60</v>
      </c>
      <c r="K1013" s="2" t="s">
        <v>12711</v>
      </c>
      <c r="L1013" s="2" t="s">
        <v>12712</v>
      </c>
      <c r="M1013" s="3" t="s">
        <v>4503</v>
      </c>
      <c r="N1013" s="2" t="s">
        <v>12713</v>
      </c>
      <c r="O1013" s="3" t="s">
        <v>1490</v>
      </c>
      <c r="P1013" s="3" t="s">
        <v>5465</v>
      </c>
      <c r="R1013" s="3" t="s">
        <v>68</v>
      </c>
      <c r="S1013" s="4">
        <v>1</v>
      </c>
      <c r="T1013" s="4">
        <v>1</v>
      </c>
      <c r="U1013" s="5" t="s">
        <v>12714</v>
      </c>
      <c r="V1013" s="5" t="s">
        <v>12714</v>
      </c>
      <c r="W1013" s="5" t="s">
        <v>4348</v>
      </c>
      <c r="X1013" s="5" t="s">
        <v>4348</v>
      </c>
      <c r="Y1013" s="4">
        <v>295</v>
      </c>
      <c r="Z1013" s="4">
        <v>218</v>
      </c>
      <c r="AA1013" s="4">
        <v>269</v>
      </c>
      <c r="AB1013" s="4">
        <v>2</v>
      </c>
      <c r="AC1013" s="4">
        <v>2</v>
      </c>
      <c r="AD1013" s="4">
        <v>20</v>
      </c>
      <c r="AE1013" s="4">
        <v>24</v>
      </c>
      <c r="AF1013" s="4">
        <v>4</v>
      </c>
      <c r="AG1013" s="4">
        <v>4</v>
      </c>
      <c r="AH1013" s="4">
        <v>6</v>
      </c>
      <c r="AI1013" s="4">
        <v>9</v>
      </c>
      <c r="AJ1013" s="4">
        <v>15</v>
      </c>
      <c r="AK1013" s="4">
        <v>17</v>
      </c>
      <c r="AL1013" s="4">
        <v>1</v>
      </c>
      <c r="AM1013" s="4">
        <v>1</v>
      </c>
      <c r="AN1013" s="4">
        <v>0</v>
      </c>
      <c r="AO1013" s="4">
        <v>0</v>
      </c>
      <c r="AP1013" s="3" t="s">
        <v>58</v>
      </c>
      <c r="AQ1013" s="3" t="s">
        <v>132</v>
      </c>
      <c r="AR1013" s="6" t="str">
        <f>HYPERLINK("http://catalog.hathitrust.org/Record/000119562","HathiTrust Record")</f>
        <v>HathiTrust Record</v>
      </c>
      <c r="AS1013" s="6" t="str">
        <f>HYPERLINK("https://creighton-primo.hosted.exlibrisgroup.com/primo-explore/search?tab=default_tab&amp;search_scope=EVERYTHING&amp;vid=01CRU&amp;lang=en_US&amp;offset=0&amp;query=any,contains,991003996149702656","Catalog Record")</f>
        <v>Catalog Record</v>
      </c>
      <c r="AT1013" s="6" t="str">
        <f>HYPERLINK("http://www.worldcat.org/oclc/2061648","WorldCat Record")</f>
        <v>WorldCat Record</v>
      </c>
      <c r="AU1013" s="3" t="s">
        <v>12715</v>
      </c>
      <c r="AV1013" s="3" t="s">
        <v>12716</v>
      </c>
      <c r="AW1013" s="3" t="s">
        <v>12717</v>
      </c>
      <c r="AX1013" s="3" t="s">
        <v>12717</v>
      </c>
      <c r="AY1013" s="3" t="s">
        <v>12718</v>
      </c>
      <c r="AZ1013" s="3" t="s">
        <v>75</v>
      </c>
      <c r="BC1013" s="3" t="s">
        <v>12725</v>
      </c>
      <c r="BD1013" s="3" t="s">
        <v>12726</v>
      </c>
    </row>
    <row r="1014" spans="1:56" ht="39" customHeight="1" x14ac:dyDescent="0.25">
      <c r="A1014" s="7" t="s">
        <v>58</v>
      </c>
      <c r="B1014" s="2" t="s">
        <v>12727</v>
      </c>
      <c r="C1014" s="2" t="s">
        <v>12728</v>
      </c>
      <c r="D1014" s="2" t="s">
        <v>12729</v>
      </c>
      <c r="F1014" s="3" t="s">
        <v>58</v>
      </c>
      <c r="G1014" s="3" t="s">
        <v>59</v>
      </c>
      <c r="H1014" s="3" t="s">
        <v>58</v>
      </c>
      <c r="I1014" s="3" t="s">
        <v>58</v>
      </c>
      <c r="J1014" s="3" t="s">
        <v>60</v>
      </c>
      <c r="K1014" s="2" t="s">
        <v>12730</v>
      </c>
      <c r="L1014" s="2" t="s">
        <v>12731</v>
      </c>
      <c r="M1014" s="3" t="s">
        <v>112</v>
      </c>
      <c r="O1014" s="3" t="s">
        <v>65</v>
      </c>
      <c r="P1014" s="3" t="s">
        <v>477</v>
      </c>
      <c r="R1014" s="3" t="s">
        <v>68</v>
      </c>
      <c r="S1014" s="4">
        <v>5</v>
      </c>
      <c r="T1014" s="4">
        <v>5</v>
      </c>
      <c r="U1014" s="5" t="s">
        <v>1193</v>
      </c>
      <c r="V1014" s="5" t="s">
        <v>1193</v>
      </c>
      <c r="W1014" s="5" t="s">
        <v>12732</v>
      </c>
      <c r="X1014" s="5" t="s">
        <v>12732</v>
      </c>
      <c r="Y1014" s="4">
        <v>261</v>
      </c>
      <c r="Z1014" s="4">
        <v>219</v>
      </c>
      <c r="AA1014" s="4">
        <v>219</v>
      </c>
      <c r="AB1014" s="4">
        <v>3</v>
      </c>
      <c r="AC1014" s="4">
        <v>3</v>
      </c>
      <c r="AD1014" s="4">
        <v>19</v>
      </c>
      <c r="AE1014" s="4">
        <v>19</v>
      </c>
      <c r="AF1014" s="4">
        <v>6</v>
      </c>
      <c r="AG1014" s="4">
        <v>6</v>
      </c>
      <c r="AH1014" s="4">
        <v>4</v>
      </c>
      <c r="AI1014" s="4">
        <v>4</v>
      </c>
      <c r="AJ1014" s="4">
        <v>13</v>
      </c>
      <c r="AK1014" s="4">
        <v>13</v>
      </c>
      <c r="AL1014" s="4">
        <v>1</v>
      </c>
      <c r="AM1014" s="4">
        <v>1</v>
      </c>
      <c r="AN1014" s="4">
        <v>0</v>
      </c>
      <c r="AO1014" s="4">
        <v>0</v>
      </c>
      <c r="AP1014" s="3" t="s">
        <v>58</v>
      </c>
      <c r="AQ1014" s="3" t="s">
        <v>58</v>
      </c>
      <c r="AS1014" s="6" t="str">
        <f>HYPERLINK("https://creighton-primo.hosted.exlibrisgroup.com/primo-explore/search?tab=default_tab&amp;search_scope=EVERYTHING&amp;vid=01CRU&amp;lang=en_US&amp;offset=0&amp;query=any,contains,991002043419702656","Catalog Record")</f>
        <v>Catalog Record</v>
      </c>
      <c r="AT1014" s="6" t="str">
        <f>HYPERLINK("http://www.worldcat.org/oclc/26082975","WorldCat Record")</f>
        <v>WorldCat Record</v>
      </c>
      <c r="AU1014" s="3" t="s">
        <v>12733</v>
      </c>
      <c r="AV1014" s="3" t="s">
        <v>12734</v>
      </c>
      <c r="AW1014" s="3" t="s">
        <v>12735</v>
      </c>
      <c r="AX1014" s="3" t="s">
        <v>12735</v>
      </c>
      <c r="AY1014" s="3" t="s">
        <v>12736</v>
      </c>
      <c r="AZ1014" s="3" t="s">
        <v>75</v>
      </c>
      <c r="BB1014" s="3" t="s">
        <v>12737</v>
      </c>
      <c r="BC1014" s="3" t="s">
        <v>12738</v>
      </c>
      <c r="BD1014" s="3" t="s">
        <v>12739</v>
      </c>
    </row>
    <row r="1015" spans="1:56" ht="39" customHeight="1" x14ac:dyDescent="0.25">
      <c r="A1015" s="7" t="s">
        <v>58</v>
      </c>
      <c r="B1015" s="2" t="s">
        <v>12740</v>
      </c>
      <c r="C1015" s="2" t="s">
        <v>12741</v>
      </c>
      <c r="D1015" s="2" t="s">
        <v>12742</v>
      </c>
      <c r="F1015" s="3" t="s">
        <v>58</v>
      </c>
      <c r="G1015" s="3" t="s">
        <v>59</v>
      </c>
      <c r="H1015" s="3" t="s">
        <v>58</v>
      </c>
      <c r="I1015" s="3" t="s">
        <v>58</v>
      </c>
      <c r="J1015" s="3" t="s">
        <v>60</v>
      </c>
      <c r="K1015" s="2" t="s">
        <v>6979</v>
      </c>
      <c r="L1015" s="2" t="s">
        <v>12743</v>
      </c>
      <c r="M1015" s="3" t="s">
        <v>1046</v>
      </c>
      <c r="N1015" s="2" t="s">
        <v>476</v>
      </c>
      <c r="O1015" s="3" t="s">
        <v>65</v>
      </c>
      <c r="P1015" s="3" t="s">
        <v>84</v>
      </c>
      <c r="R1015" s="3" t="s">
        <v>68</v>
      </c>
      <c r="S1015" s="4">
        <v>6</v>
      </c>
      <c r="T1015" s="4">
        <v>6</v>
      </c>
      <c r="U1015" s="5" t="s">
        <v>1399</v>
      </c>
      <c r="V1015" s="5" t="s">
        <v>1399</v>
      </c>
      <c r="W1015" s="5" t="s">
        <v>6089</v>
      </c>
      <c r="X1015" s="5" t="s">
        <v>6089</v>
      </c>
      <c r="Y1015" s="4">
        <v>536</v>
      </c>
      <c r="Z1015" s="4">
        <v>478</v>
      </c>
      <c r="AA1015" s="4">
        <v>500</v>
      </c>
      <c r="AB1015" s="4">
        <v>5</v>
      </c>
      <c r="AC1015" s="4">
        <v>5</v>
      </c>
      <c r="AD1015" s="4">
        <v>27</v>
      </c>
      <c r="AE1015" s="4">
        <v>29</v>
      </c>
      <c r="AF1015" s="4">
        <v>9</v>
      </c>
      <c r="AG1015" s="4">
        <v>10</v>
      </c>
      <c r="AH1015" s="4">
        <v>5</v>
      </c>
      <c r="AI1015" s="4">
        <v>6</v>
      </c>
      <c r="AJ1015" s="4">
        <v>18</v>
      </c>
      <c r="AK1015" s="4">
        <v>19</v>
      </c>
      <c r="AL1015" s="4">
        <v>3</v>
      </c>
      <c r="AM1015" s="4">
        <v>3</v>
      </c>
      <c r="AN1015" s="4">
        <v>0</v>
      </c>
      <c r="AO1015" s="4">
        <v>0</v>
      </c>
      <c r="AP1015" s="3" t="s">
        <v>58</v>
      </c>
      <c r="AQ1015" s="3" t="s">
        <v>132</v>
      </c>
      <c r="AR1015" s="6" t="str">
        <f>HYPERLINK("http://catalog.hathitrust.org/Record/000484786","HathiTrust Record")</f>
        <v>HathiTrust Record</v>
      </c>
      <c r="AS1015" s="6" t="str">
        <f>HYPERLINK("https://creighton-primo.hosted.exlibrisgroup.com/primo-explore/search?tab=default_tab&amp;search_scope=EVERYTHING&amp;vid=01CRU&amp;lang=en_US&amp;offset=0&amp;query=any,contains,991000763909702656","Catalog Record")</f>
        <v>Catalog Record</v>
      </c>
      <c r="AT1015" s="6" t="str">
        <f>HYPERLINK("http://www.worldcat.org/oclc/12977446","WorldCat Record")</f>
        <v>WorldCat Record</v>
      </c>
      <c r="AU1015" s="3" t="s">
        <v>12744</v>
      </c>
      <c r="AV1015" s="3" t="s">
        <v>12745</v>
      </c>
      <c r="AW1015" s="3" t="s">
        <v>12746</v>
      </c>
      <c r="AX1015" s="3" t="s">
        <v>12746</v>
      </c>
      <c r="AY1015" s="3" t="s">
        <v>12747</v>
      </c>
      <c r="AZ1015" s="3" t="s">
        <v>75</v>
      </c>
      <c r="BB1015" s="3" t="s">
        <v>12748</v>
      </c>
      <c r="BC1015" s="3" t="s">
        <v>12749</v>
      </c>
      <c r="BD1015" s="3" t="s">
        <v>12750</v>
      </c>
    </row>
    <row r="1016" spans="1:56" ht="39" customHeight="1" x14ac:dyDescent="0.25">
      <c r="A1016" s="7" t="s">
        <v>58</v>
      </c>
      <c r="B1016" s="2" t="s">
        <v>12751</v>
      </c>
      <c r="C1016" s="2" t="s">
        <v>12752</v>
      </c>
      <c r="D1016" s="2" t="s">
        <v>12753</v>
      </c>
      <c r="F1016" s="3" t="s">
        <v>58</v>
      </c>
      <c r="G1016" s="3" t="s">
        <v>59</v>
      </c>
      <c r="H1016" s="3" t="s">
        <v>58</v>
      </c>
      <c r="I1016" s="3" t="s">
        <v>58</v>
      </c>
      <c r="J1016" s="3" t="s">
        <v>60</v>
      </c>
      <c r="L1016" s="2" t="s">
        <v>12754</v>
      </c>
      <c r="M1016" s="3" t="s">
        <v>215</v>
      </c>
      <c r="O1016" s="3" t="s">
        <v>65</v>
      </c>
      <c r="P1016" s="3" t="s">
        <v>571</v>
      </c>
      <c r="R1016" s="3" t="s">
        <v>68</v>
      </c>
      <c r="S1016" s="4">
        <v>3</v>
      </c>
      <c r="T1016" s="4">
        <v>3</v>
      </c>
      <c r="U1016" s="5" t="s">
        <v>173</v>
      </c>
      <c r="V1016" s="5" t="s">
        <v>173</v>
      </c>
      <c r="W1016" s="5" t="s">
        <v>5122</v>
      </c>
      <c r="X1016" s="5" t="s">
        <v>5122</v>
      </c>
      <c r="Y1016" s="4">
        <v>356</v>
      </c>
      <c r="Z1016" s="4">
        <v>296</v>
      </c>
      <c r="AA1016" s="4">
        <v>308</v>
      </c>
      <c r="AB1016" s="4">
        <v>3</v>
      </c>
      <c r="AC1016" s="4">
        <v>3</v>
      </c>
      <c r="AD1016" s="4">
        <v>18</v>
      </c>
      <c r="AE1016" s="4">
        <v>18</v>
      </c>
      <c r="AF1016" s="4">
        <v>5</v>
      </c>
      <c r="AG1016" s="4">
        <v>5</v>
      </c>
      <c r="AH1016" s="4">
        <v>4</v>
      </c>
      <c r="AI1016" s="4">
        <v>4</v>
      </c>
      <c r="AJ1016" s="4">
        <v>10</v>
      </c>
      <c r="AK1016" s="4">
        <v>10</v>
      </c>
      <c r="AL1016" s="4">
        <v>2</v>
      </c>
      <c r="AM1016" s="4">
        <v>2</v>
      </c>
      <c r="AN1016" s="4">
        <v>3</v>
      </c>
      <c r="AO1016" s="4">
        <v>3</v>
      </c>
      <c r="AP1016" s="3" t="s">
        <v>58</v>
      </c>
      <c r="AQ1016" s="3" t="s">
        <v>58</v>
      </c>
      <c r="AS1016" s="6" t="str">
        <f>HYPERLINK("https://creighton-primo.hosted.exlibrisgroup.com/primo-explore/search?tab=default_tab&amp;search_scope=EVERYTHING&amp;vid=01CRU&amp;lang=en_US&amp;offset=0&amp;query=any,contains,991000801929702656","Catalog Record")</f>
        <v>Catalog Record</v>
      </c>
      <c r="AT1016" s="6" t="str">
        <f>HYPERLINK("http://www.worldcat.org/oclc/13260131","WorldCat Record")</f>
        <v>WorldCat Record</v>
      </c>
      <c r="AU1016" s="3" t="s">
        <v>12755</v>
      </c>
      <c r="AV1016" s="3" t="s">
        <v>12756</v>
      </c>
      <c r="AW1016" s="3" t="s">
        <v>12757</v>
      </c>
      <c r="AX1016" s="3" t="s">
        <v>12757</v>
      </c>
      <c r="AY1016" s="3" t="s">
        <v>12758</v>
      </c>
      <c r="AZ1016" s="3" t="s">
        <v>75</v>
      </c>
      <c r="BB1016" s="3" t="s">
        <v>12759</v>
      </c>
      <c r="BC1016" s="3" t="s">
        <v>12760</v>
      </c>
      <c r="BD1016" s="3" t="s">
        <v>12761</v>
      </c>
    </row>
    <row r="1017" spans="1:56" ht="39" customHeight="1" x14ac:dyDescent="0.25">
      <c r="A1017" s="7" t="s">
        <v>58</v>
      </c>
      <c r="B1017" s="2" t="s">
        <v>12762</v>
      </c>
      <c r="C1017" s="2" t="s">
        <v>12763</v>
      </c>
      <c r="D1017" s="2" t="s">
        <v>12764</v>
      </c>
      <c r="F1017" s="3" t="s">
        <v>58</v>
      </c>
      <c r="G1017" s="3" t="s">
        <v>59</v>
      </c>
      <c r="H1017" s="3" t="s">
        <v>58</v>
      </c>
      <c r="I1017" s="3" t="s">
        <v>58</v>
      </c>
      <c r="J1017" s="3" t="s">
        <v>60</v>
      </c>
      <c r="K1017" s="2" t="s">
        <v>12765</v>
      </c>
      <c r="L1017" s="2" t="s">
        <v>12766</v>
      </c>
      <c r="M1017" s="3" t="s">
        <v>3656</v>
      </c>
      <c r="O1017" s="3" t="s">
        <v>65</v>
      </c>
      <c r="P1017" s="3" t="s">
        <v>1358</v>
      </c>
      <c r="Q1017" s="2" t="s">
        <v>12767</v>
      </c>
      <c r="R1017" s="3" t="s">
        <v>68</v>
      </c>
      <c r="S1017" s="4">
        <v>5</v>
      </c>
      <c r="T1017" s="4">
        <v>5</v>
      </c>
      <c r="U1017" s="5" t="s">
        <v>12768</v>
      </c>
      <c r="V1017" s="5" t="s">
        <v>12768</v>
      </c>
      <c r="W1017" s="5" t="s">
        <v>12769</v>
      </c>
      <c r="X1017" s="5" t="s">
        <v>12769</v>
      </c>
      <c r="Y1017" s="4">
        <v>380</v>
      </c>
      <c r="Z1017" s="4">
        <v>318</v>
      </c>
      <c r="AA1017" s="4">
        <v>628</v>
      </c>
      <c r="AB1017" s="4">
        <v>3</v>
      </c>
      <c r="AC1017" s="4">
        <v>5</v>
      </c>
      <c r="AD1017" s="4">
        <v>25</v>
      </c>
      <c r="AE1017" s="4">
        <v>35</v>
      </c>
      <c r="AF1017" s="4">
        <v>8</v>
      </c>
      <c r="AG1017" s="4">
        <v>13</v>
      </c>
      <c r="AH1017" s="4">
        <v>4</v>
      </c>
      <c r="AI1017" s="4">
        <v>6</v>
      </c>
      <c r="AJ1017" s="4">
        <v>12</v>
      </c>
      <c r="AK1017" s="4">
        <v>16</v>
      </c>
      <c r="AL1017" s="4">
        <v>2</v>
      </c>
      <c r="AM1017" s="4">
        <v>4</v>
      </c>
      <c r="AN1017" s="4">
        <v>3</v>
      </c>
      <c r="AO1017" s="4">
        <v>4</v>
      </c>
      <c r="AP1017" s="3" t="s">
        <v>58</v>
      </c>
      <c r="AQ1017" s="3" t="s">
        <v>132</v>
      </c>
      <c r="AR1017" s="6" t="str">
        <f>HYPERLINK("http://catalog.hathitrust.org/Record/003945254","HathiTrust Record")</f>
        <v>HathiTrust Record</v>
      </c>
      <c r="AS1017" s="6" t="str">
        <f>HYPERLINK("https://creighton-primo.hosted.exlibrisgroup.com/primo-explore/search?tab=default_tab&amp;search_scope=EVERYTHING&amp;vid=01CRU&amp;lang=en_US&amp;offset=0&amp;query=any,contains,991002784249702656","Catalog Record")</f>
        <v>Catalog Record</v>
      </c>
      <c r="AT1017" s="6" t="str">
        <f>HYPERLINK("http://www.worldcat.org/oclc/36557001","WorldCat Record")</f>
        <v>WorldCat Record</v>
      </c>
      <c r="AU1017" s="3" t="s">
        <v>12770</v>
      </c>
      <c r="AV1017" s="3" t="s">
        <v>12771</v>
      </c>
      <c r="AW1017" s="3" t="s">
        <v>12772</v>
      </c>
      <c r="AX1017" s="3" t="s">
        <v>12772</v>
      </c>
      <c r="AY1017" s="3" t="s">
        <v>12773</v>
      </c>
      <c r="AZ1017" s="3" t="s">
        <v>75</v>
      </c>
      <c r="BB1017" s="3" t="s">
        <v>12774</v>
      </c>
      <c r="BC1017" s="3" t="s">
        <v>12775</v>
      </c>
      <c r="BD1017" s="3" t="s">
        <v>12776</v>
      </c>
    </row>
    <row r="1018" spans="1:56" ht="39" customHeight="1" x14ac:dyDescent="0.25">
      <c r="A1018" s="7" t="s">
        <v>58</v>
      </c>
      <c r="B1018" s="2" t="s">
        <v>12777</v>
      </c>
      <c r="C1018" s="2" t="s">
        <v>12778</v>
      </c>
      <c r="D1018" s="2" t="s">
        <v>12779</v>
      </c>
      <c r="F1018" s="3" t="s">
        <v>58</v>
      </c>
      <c r="G1018" s="3" t="s">
        <v>59</v>
      </c>
      <c r="H1018" s="3" t="s">
        <v>58</v>
      </c>
      <c r="I1018" s="3" t="s">
        <v>58</v>
      </c>
      <c r="J1018" s="3" t="s">
        <v>60</v>
      </c>
      <c r="K1018" s="2" t="s">
        <v>12780</v>
      </c>
      <c r="L1018" s="2" t="s">
        <v>12781</v>
      </c>
      <c r="M1018" s="3" t="s">
        <v>871</v>
      </c>
      <c r="N1018" s="2" t="s">
        <v>2831</v>
      </c>
      <c r="O1018" s="3" t="s">
        <v>65</v>
      </c>
      <c r="P1018" s="3" t="s">
        <v>186</v>
      </c>
      <c r="Q1018" s="2" t="s">
        <v>12782</v>
      </c>
      <c r="R1018" s="3" t="s">
        <v>68</v>
      </c>
      <c r="S1018" s="4">
        <v>5</v>
      </c>
      <c r="T1018" s="4">
        <v>5</v>
      </c>
      <c r="U1018" s="5" t="s">
        <v>173</v>
      </c>
      <c r="V1018" s="5" t="s">
        <v>173</v>
      </c>
      <c r="W1018" s="5" t="s">
        <v>4348</v>
      </c>
      <c r="X1018" s="5" t="s">
        <v>4348</v>
      </c>
      <c r="Y1018" s="4">
        <v>662</v>
      </c>
      <c r="Z1018" s="4">
        <v>610</v>
      </c>
      <c r="AA1018" s="4">
        <v>695</v>
      </c>
      <c r="AB1018" s="4">
        <v>7</v>
      </c>
      <c r="AC1018" s="4">
        <v>7</v>
      </c>
      <c r="AD1018" s="4">
        <v>40</v>
      </c>
      <c r="AE1018" s="4">
        <v>45</v>
      </c>
      <c r="AF1018" s="4">
        <v>15</v>
      </c>
      <c r="AG1018" s="4">
        <v>17</v>
      </c>
      <c r="AH1018" s="4">
        <v>8</v>
      </c>
      <c r="AI1018" s="4">
        <v>9</v>
      </c>
      <c r="AJ1018" s="4">
        <v>21</v>
      </c>
      <c r="AK1018" s="4">
        <v>23</v>
      </c>
      <c r="AL1018" s="4">
        <v>5</v>
      </c>
      <c r="AM1018" s="4">
        <v>5</v>
      </c>
      <c r="AN1018" s="4">
        <v>3</v>
      </c>
      <c r="AO1018" s="4">
        <v>4</v>
      </c>
      <c r="AP1018" s="3" t="s">
        <v>58</v>
      </c>
      <c r="AQ1018" s="3" t="s">
        <v>132</v>
      </c>
      <c r="AR1018" s="6" t="str">
        <f>HYPERLINK("http://catalog.hathitrust.org/Record/001413331","HathiTrust Record")</f>
        <v>HathiTrust Record</v>
      </c>
      <c r="AS1018" s="6" t="str">
        <f>HYPERLINK("https://creighton-primo.hosted.exlibrisgroup.com/primo-explore/search?tab=default_tab&amp;search_scope=EVERYTHING&amp;vid=01CRU&amp;lang=en_US&amp;offset=0&amp;query=any,contains,991001231229702656","Catalog Record")</f>
        <v>Catalog Record</v>
      </c>
      <c r="AT1018" s="6" t="str">
        <f>HYPERLINK("http://www.worldcat.org/oclc/203624","WorldCat Record")</f>
        <v>WorldCat Record</v>
      </c>
      <c r="AU1018" s="3" t="s">
        <v>12783</v>
      </c>
      <c r="AV1018" s="3" t="s">
        <v>12784</v>
      </c>
      <c r="AW1018" s="3" t="s">
        <v>12785</v>
      </c>
      <c r="AX1018" s="3" t="s">
        <v>12785</v>
      </c>
      <c r="AY1018" s="3" t="s">
        <v>12786</v>
      </c>
      <c r="AZ1018" s="3" t="s">
        <v>75</v>
      </c>
      <c r="BC1018" s="3" t="s">
        <v>12787</v>
      </c>
      <c r="BD1018" s="3" t="s">
        <v>12788</v>
      </c>
    </row>
    <row r="1019" spans="1:56" ht="39" customHeight="1" x14ac:dyDescent="0.25">
      <c r="A1019" s="7" t="s">
        <v>58</v>
      </c>
      <c r="B1019" s="2" t="s">
        <v>12789</v>
      </c>
      <c r="C1019" s="2" t="s">
        <v>12790</v>
      </c>
      <c r="D1019" s="2" t="s">
        <v>12791</v>
      </c>
      <c r="F1019" s="3" t="s">
        <v>58</v>
      </c>
      <c r="G1019" s="3" t="s">
        <v>59</v>
      </c>
      <c r="H1019" s="3" t="s">
        <v>58</v>
      </c>
      <c r="I1019" s="3" t="s">
        <v>58</v>
      </c>
      <c r="J1019" s="3" t="s">
        <v>60</v>
      </c>
      <c r="K1019" s="2" t="s">
        <v>12792</v>
      </c>
      <c r="L1019" s="2" t="s">
        <v>12793</v>
      </c>
      <c r="M1019" s="3" t="s">
        <v>389</v>
      </c>
      <c r="N1019" s="2" t="s">
        <v>2831</v>
      </c>
      <c r="O1019" s="3" t="s">
        <v>65</v>
      </c>
      <c r="P1019" s="3" t="s">
        <v>186</v>
      </c>
      <c r="R1019" s="3" t="s">
        <v>68</v>
      </c>
      <c r="S1019" s="4">
        <v>2</v>
      </c>
      <c r="T1019" s="4">
        <v>2</v>
      </c>
      <c r="U1019" s="5" t="s">
        <v>2305</v>
      </c>
      <c r="V1019" s="5" t="s">
        <v>2305</v>
      </c>
      <c r="W1019" s="5" t="s">
        <v>4348</v>
      </c>
      <c r="X1019" s="5" t="s">
        <v>4348</v>
      </c>
      <c r="Y1019" s="4">
        <v>267</v>
      </c>
      <c r="Z1019" s="4">
        <v>242</v>
      </c>
      <c r="AA1019" s="4">
        <v>251</v>
      </c>
      <c r="AB1019" s="4">
        <v>4</v>
      </c>
      <c r="AC1019" s="4">
        <v>4</v>
      </c>
      <c r="AD1019" s="4">
        <v>23</v>
      </c>
      <c r="AE1019" s="4">
        <v>23</v>
      </c>
      <c r="AF1019" s="4">
        <v>6</v>
      </c>
      <c r="AG1019" s="4">
        <v>6</v>
      </c>
      <c r="AH1019" s="4">
        <v>4</v>
      </c>
      <c r="AI1019" s="4">
        <v>4</v>
      </c>
      <c r="AJ1019" s="4">
        <v>15</v>
      </c>
      <c r="AK1019" s="4">
        <v>15</v>
      </c>
      <c r="AL1019" s="4">
        <v>2</v>
      </c>
      <c r="AM1019" s="4">
        <v>2</v>
      </c>
      <c r="AN1019" s="4">
        <v>1</v>
      </c>
      <c r="AO1019" s="4">
        <v>1</v>
      </c>
      <c r="AP1019" s="3" t="s">
        <v>58</v>
      </c>
      <c r="AQ1019" s="3" t="s">
        <v>132</v>
      </c>
      <c r="AR1019" s="6" t="str">
        <f>HYPERLINK("http://catalog.hathitrust.org/Record/001413333","HathiTrust Record")</f>
        <v>HathiTrust Record</v>
      </c>
      <c r="AS1019" s="6" t="str">
        <f>HYPERLINK("https://creighton-primo.hosted.exlibrisgroup.com/primo-explore/search?tab=default_tab&amp;search_scope=EVERYTHING&amp;vid=01CRU&amp;lang=en_US&amp;offset=0&amp;query=any,contains,991002774869702656","Catalog Record")</f>
        <v>Catalog Record</v>
      </c>
      <c r="AT1019" s="6" t="str">
        <f>HYPERLINK("http://www.worldcat.org/oclc/438251","WorldCat Record")</f>
        <v>WorldCat Record</v>
      </c>
      <c r="AU1019" s="3" t="s">
        <v>12794</v>
      </c>
      <c r="AV1019" s="3" t="s">
        <v>12795</v>
      </c>
      <c r="AW1019" s="3" t="s">
        <v>12796</v>
      </c>
      <c r="AX1019" s="3" t="s">
        <v>12796</v>
      </c>
      <c r="AY1019" s="3" t="s">
        <v>12797</v>
      </c>
      <c r="AZ1019" s="3" t="s">
        <v>75</v>
      </c>
      <c r="BC1019" s="3" t="s">
        <v>12798</v>
      </c>
      <c r="BD1019" s="3" t="s">
        <v>12799</v>
      </c>
    </row>
    <row r="1020" spans="1:56" ht="39" customHeight="1" x14ac:dyDescent="0.25">
      <c r="A1020" s="7" t="s">
        <v>58</v>
      </c>
      <c r="B1020" s="2" t="s">
        <v>12800</v>
      </c>
      <c r="C1020" s="2" t="s">
        <v>12801</v>
      </c>
      <c r="D1020" s="2" t="s">
        <v>12802</v>
      </c>
      <c r="F1020" s="3" t="s">
        <v>58</v>
      </c>
      <c r="G1020" s="3" t="s">
        <v>59</v>
      </c>
      <c r="H1020" s="3" t="s">
        <v>58</v>
      </c>
      <c r="I1020" s="3" t="s">
        <v>58</v>
      </c>
      <c r="J1020" s="3" t="s">
        <v>60</v>
      </c>
      <c r="L1020" s="2" t="s">
        <v>12803</v>
      </c>
      <c r="M1020" s="3" t="s">
        <v>1289</v>
      </c>
      <c r="O1020" s="3" t="s">
        <v>65</v>
      </c>
      <c r="P1020" s="3" t="s">
        <v>201</v>
      </c>
      <c r="R1020" s="3" t="s">
        <v>68</v>
      </c>
      <c r="S1020" s="4">
        <v>2</v>
      </c>
      <c r="T1020" s="4">
        <v>2</v>
      </c>
      <c r="U1020" s="5" t="s">
        <v>12804</v>
      </c>
      <c r="V1020" s="5" t="s">
        <v>12804</v>
      </c>
      <c r="W1020" s="5" t="s">
        <v>6257</v>
      </c>
      <c r="X1020" s="5" t="s">
        <v>6257</v>
      </c>
      <c r="Y1020" s="4">
        <v>173</v>
      </c>
      <c r="Z1020" s="4">
        <v>141</v>
      </c>
      <c r="AA1020" s="4">
        <v>141</v>
      </c>
      <c r="AB1020" s="4">
        <v>1</v>
      </c>
      <c r="AC1020" s="4">
        <v>1</v>
      </c>
      <c r="AD1020" s="4">
        <v>15</v>
      </c>
      <c r="AE1020" s="4">
        <v>15</v>
      </c>
      <c r="AF1020" s="4">
        <v>7</v>
      </c>
      <c r="AG1020" s="4">
        <v>7</v>
      </c>
      <c r="AH1020" s="4">
        <v>5</v>
      </c>
      <c r="AI1020" s="4">
        <v>5</v>
      </c>
      <c r="AJ1020" s="4">
        <v>9</v>
      </c>
      <c r="AK1020" s="4">
        <v>9</v>
      </c>
      <c r="AL1020" s="4">
        <v>0</v>
      </c>
      <c r="AM1020" s="4">
        <v>0</v>
      </c>
      <c r="AN1020" s="4">
        <v>0</v>
      </c>
      <c r="AO1020" s="4">
        <v>0</v>
      </c>
      <c r="AP1020" s="3" t="s">
        <v>58</v>
      </c>
      <c r="AQ1020" s="3" t="s">
        <v>58</v>
      </c>
      <c r="AS1020" s="6" t="str">
        <f>HYPERLINK("https://creighton-primo.hosted.exlibrisgroup.com/primo-explore/search?tab=default_tab&amp;search_scope=EVERYTHING&amp;vid=01CRU&amp;lang=en_US&amp;offset=0&amp;query=any,contains,991004423049702656","Catalog Record")</f>
        <v>Catalog Record</v>
      </c>
      <c r="AT1020" s="6" t="str">
        <f>HYPERLINK("http://www.worldcat.org/oclc/51304143","WorldCat Record")</f>
        <v>WorldCat Record</v>
      </c>
      <c r="AU1020" s="3" t="s">
        <v>12805</v>
      </c>
      <c r="AV1020" s="3" t="s">
        <v>12806</v>
      </c>
      <c r="AW1020" s="3" t="s">
        <v>12807</v>
      </c>
      <c r="AX1020" s="3" t="s">
        <v>12807</v>
      </c>
      <c r="AY1020" s="3" t="s">
        <v>12808</v>
      </c>
      <c r="AZ1020" s="3" t="s">
        <v>75</v>
      </c>
      <c r="BB1020" s="3" t="s">
        <v>12809</v>
      </c>
      <c r="BC1020" s="3" t="s">
        <v>12810</v>
      </c>
      <c r="BD1020" s="3" t="s">
        <v>12811</v>
      </c>
    </row>
    <row r="1021" spans="1:56" ht="39" customHeight="1" x14ac:dyDescent="0.25">
      <c r="A1021" s="7" t="s">
        <v>58</v>
      </c>
      <c r="B1021" s="2" t="s">
        <v>12812</v>
      </c>
      <c r="C1021" s="2" t="s">
        <v>12813</v>
      </c>
      <c r="D1021" s="2" t="s">
        <v>12814</v>
      </c>
      <c r="F1021" s="3" t="s">
        <v>58</v>
      </c>
      <c r="G1021" s="3" t="s">
        <v>59</v>
      </c>
      <c r="H1021" s="3" t="s">
        <v>58</v>
      </c>
      <c r="I1021" s="3" t="s">
        <v>58</v>
      </c>
      <c r="J1021" s="3" t="s">
        <v>60</v>
      </c>
      <c r="L1021" s="2" t="s">
        <v>12815</v>
      </c>
      <c r="M1021" s="3" t="s">
        <v>1046</v>
      </c>
      <c r="O1021" s="3" t="s">
        <v>65</v>
      </c>
      <c r="P1021" s="3" t="s">
        <v>158</v>
      </c>
      <c r="R1021" s="3" t="s">
        <v>68</v>
      </c>
      <c r="S1021" s="4">
        <v>7</v>
      </c>
      <c r="T1021" s="4">
        <v>7</v>
      </c>
      <c r="U1021" s="5" t="s">
        <v>12701</v>
      </c>
      <c r="V1021" s="5" t="s">
        <v>12701</v>
      </c>
      <c r="W1021" s="5" t="s">
        <v>4348</v>
      </c>
      <c r="X1021" s="5" t="s">
        <v>4348</v>
      </c>
      <c r="Y1021" s="4">
        <v>356</v>
      </c>
      <c r="Z1021" s="4">
        <v>303</v>
      </c>
      <c r="AA1021" s="4">
        <v>339</v>
      </c>
      <c r="AB1021" s="4">
        <v>3</v>
      </c>
      <c r="AC1021" s="4">
        <v>3</v>
      </c>
      <c r="AD1021" s="4">
        <v>20</v>
      </c>
      <c r="AE1021" s="4">
        <v>22</v>
      </c>
      <c r="AF1021" s="4">
        <v>10</v>
      </c>
      <c r="AG1021" s="4">
        <v>10</v>
      </c>
      <c r="AH1021" s="4">
        <v>4</v>
      </c>
      <c r="AI1021" s="4">
        <v>4</v>
      </c>
      <c r="AJ1021" s="4">
        <v>11</v>
      </c>
      <c r="AK1021" s="4">
        <v>13</v>
      </c>
      <c r="AL1021" s="4">
        <v>1</v>
      </c>
      <c r="AM1021" s="4">
        <v>1</v>
      </c>
      <c r="AN1021" s="4">
        <v>0</v>
      </c>
      <c r="AO1021" s="4">
        <v>0</v>
      </c>
      <c r="AP1021" s="3" t="s">
        <v>58</v>
      </c>
      <c r="AQ1021" s="3" t="s">
        <v>132</v>
      </c>
      <c r="AR1021" s="6" t="str">
        <f>HYPERLINK("http://catalog.hathitrust.org/Record/000490926","HathiTrust Record")</f>
        <v>HathiTrust Record</v>
      </c>
      <c r="AS1021" s="6" t="str">
        <f>HYPERLINK("https://creighton-primo.hosted.exlibrisgroup.com/primo-explore/search?tab=default_tab&amp;search_scope=EVERYTHING&amp;vid=01CRU&amp;lang=en_US&amp;offset=0&amp;query=any,contains,991001113029702656","Catalog Record")</f>
        <v>Catalog Record</v>
      </c>
      <c r="AT1021" s="6" t="str">
        <f>HYPERLINK("http://www.worldcat.org/oclc/16669392","WorldCat Record")</f>
        <v>WorldCat Record</v>
      </c>
      <c r="AU1021" s="3" t="s">
        <v>12816</v>
      </c>
      <c r="AV1021" s="3" t="s">
        <v>12817</v>
      </c>
      <c r="AW1021" s="3" t="s">
        <v>12818</v>
      </c>
      <c r="AX1021" s="3" t="s">
        <v>12818</v>
      </c>
      <c r="AY1021" s="3" t="s">
        <v>12819</v>
      </c>
      <c r="AZ1021" s="3" t="s">
        <v>75</v>
      </c>
      <c r="BB1021" s="3" t="s">
        <v>12820</v>
      </c>
      <c r="BC1021" s="3" t="s">
        <v>12821</v>
      </c>
      <c r="BD1021" s="3" t="s">
        <v>12822</v>
      </c>
    </row>
    <row r="1022" spans="1:56" ht="39" customHeight="1" x14ac:dyDescent="0.25">
      <c r="A1022" s="7" t="s">
        <v>58</v>
      </c>
      <c r="B1022" s="2" t="s">
        <v>12823</v>
      </c>
      <c r="C1022" s="2" t="s">
        <v>12824</v>
      </c>
      <c r="D1022" s="2" t="s">
        <v>12825</v>
      </c>
      <c r="F1022" s="3" t="s">
        <v>58</v>
      </c>
      <c r="G1022" s="3" t="s">
        <v>59</v>
      </c>
      <c r="H1022" s="3" t="s">
        <v>58</v>
      </c>
      <c r="I1022" s="3" t="s">
        <v>58</v>
      </c>
      <c r="J1022" s="3" t="s">
        <v>60</v>
      </c>
      <c r="L1022" s="2" t="s">
        <v>12826</v>
      </c>
      <c r="M1022" s="3" t="s">
        <v>318</v>
      </c>
      <c r="O1022" s="3" t="s">
        <v>65</v>
      </c>
      <c r="P1022" s="3" t="s">
        <v>66</v>
      </c>
      <c r="R1022" s="3" t="s">
        <v>68</v>
      </c>
      <c r="S1022" s="4">
        <v>3</v>
      </c>
      <c r="T1022" s="4">
        <v>3</v>
      </c>
      <c r="U1022" s="5" t="s">
        <v>1137</v>
      </c>
      <c r="V1022" s="5" t="s">
        <v>1137</v>
      </c>
      <c r="W1022" s="5" t="s">
        <v>12827</v>
      </c>
      <c r="X1022" s="5" t="s">
        <v>12827</v>
      </c>
      <c r="Y1022" s="4">
        <v>144</v>
      </c>
      <c r="Z1022" s="4">
        <v>89</v>
      </c>
      <c r="AA1022" s="4">
        <v>96</v>
      </c>
      <c r="AB1022" s="4">
        <v>1</v>
      </c>
      <c r="AC1022" s="4">
        <v>1</v>
      </c>
      <c r="AD1022" s="4">
        <v>4</v>
      </c>
      <c r="AE1022" s="4">
        <v>4</v>
      </c>
      <c r="AF1022" s="4">
        <v>1</v>
      </c>
      <c r="AG1022" s="4">
        <v>1</v>
      </c>
      <c r="AH1022" s="4">
        <v>1</v>
      </c>
      <c r="AI1022" s="4">
        <v>1</v>
      </c>
      <c r="AJ1022" s="4">
        <v>2</v>
      </c>
      <c r="AK1022" s="4">
        <v>2</v>
      </c>
      <c r="AL1022" s="4">
        <v>0</v>
      </c>
      <c r="AM1022" s="4">
        <v>0</v>
      </c>
      <c r="AN1022" s="4">
        <v>0</v>
      </c>
      <c r="AO1022" s="4">
        <v>0</v>
      </c>
      <c r="AP1022" s="3" t="s">
        <v>58</v>
      </c>
      <c r="AQ1022" s="3" t="s">
        <v>132</v>
      </c>
      <c r="AR1022" s="6" t="str">
        <f>HYPERLINK("http://catalog.hathitrust.org/Record/003972030","HathiTrust Record")</f>
        <v>HathiTrust Record</v>
      </c>
      <c r="AS1022" s="6" t="str">
        <f>HYPERLINK("https://creighton-primo.hosted.exlibrisgroup.com/primo-explore/search?tab=default_tab&amp;search_scope=EVERYTHING&amp;vid=01CRU&amp;lang=en_US&amp;offset=0&amp;query=any,contains,991002955319702656","Catalog Record")</f>
        <v>Catalog Record</v>
      </c>
      <c r="AT1022" s="6" t="str">
        <f>HYPERLINK("http://www.worldcat.org/oclc/39441133","WorldCat Record")</f>
        <v>WorldCat Record</v>
      </c>
      <c r="AU1022" s="3" t="s">
        <v>12828</v>
      </c>
      <c r="AV1022" s="3" t="s">
        <v>12829</v>
      </c>
      <c r="AW1022" s="3" t="s">
        <v>12830</v>
      </c>
      <c r="AX1022" s="3" t="s">
        <v>12830</v>
      </c>
      <c r="AY1022" s="3" t="s">
        <v>12831</v>
      </c>
      <c r="AZ1022" s="3" t="s">
        <v>75</v>
      </c>
      <c r="BB1022" s="3" t="s">
        <v>12832</v>
      </c>
      <c r="BC1022" s="3" t="s">
        <v>12833</v>
      </c>
      <c r="BD1022" s="3" t="s">
        <v>12834</v>
      </c>
    </row>
    <row r="1023" spans="1:56" ht="39" customHeight="1" x14ac:dyDescent="0.25">
      <c r="A1023" s="7" t="s">
        <v>58</v>
      </c>
      <c r="B1023" s="2" t="s">
        <v>12835</v>
      </c>
      <c r="C1023" s="2" t="s">
        <v>12836</v>
      </c>
      <c r="D1023" s="2" t="s">
        <v>12837</v>
      </c>
      <c r="F1023" s="3" t="s">
        <v>58</v>
      </c>
      <c r="G1023" s="3" t="s">
        <v>59</v>
      </c>
      <c r="H1023" s="3" t="s">
        <v>58</v>
      </c>
      <c r="I1023" s="3" t="s">
        <v>58</v>
      </c>
      <c r="J1023" s="3" t="s">
        <v>60</v>
      </c>
      <c r="K1023" s="2" t="s">
        <v>12838</v>
      </c>
      <c r="L1023" s="2" t="s">
        <v>12839</v>
      </c>
      <c r="M1023" s="3" t="s">
        <v>273</v>
      </c>
      <c r="O1023" s="3" t="s">
        <v>65</v>
      </c>
      <c r="P1023" s="3" t="s">
        <v>66</v>
      </c>
      <c r="Q1023" s="2" t="s">
        <v>12840</v>
      </c>
      <c r="R1023" s="3" t="s">
        <v>68</v>
      </c>
      <c r="S1023" s="4">
        <v>1</v>
      </c>
      <c r="T1023" s="4">
        <v>1</v>
      </c>
      <c r="U1023" s="5" t="s">
        <v>12841</v>
      </c>
      <c r="V1023" s="5" t="s">
        <v>12841</v>
      </c>
      <c r="W1023" s="5" t="s">
        <v>12842</v>
      </c>
      <c r="X1023" s="5" t="s">
        <v>12842</v>
      </c>
      <c r="Y1023" s="4">
        <v>361</v>
      </c>
      <c r="Z1023" s="4">
        <v>223</v>
      </c>
      <c r="AA1023" s="4">
        <v>229</v>
      </c>
      <c r="AB1023" s="4">
        <v>3</v>
      </c>
      <c r="AC1023" s="4">
        <v>3</v>
      </c>
      <c r="AD1023" s="4">
        <v>22</v>
      </c>
      <c r="AE1023" s="4">
        <v>22</v>
      </c>
      <c r="AF1023" s="4">
        <v>8</v>
      </c>
      <c r="AG1023" s="4">
        <v>8</v>
      </c>
      <c r="AH1023" s="4">
        <v>7</v>
      </c>
      <c r="AI1023" s="4">
        <v>7</v>
      </c>
      <c r="AJ1023" s="4">
        <v>12</v>
      </c>
      <c r="AK1023" s="4">
        <v>12</v>
      </c>
      <c r="AL1023" s="4">
        <v>2</v>
      </c>
      <c r="AM1023" s="4">
        <v>2</v>
      </c>
      <c r="AN1023" s="4">
        <v>0</v>
      </c>
      <c r="AO1023" s="4">
        <v>0</v>
      </c>
      <c r="AP1023" s="3" t="s">
        <v>58</v>
      </c>
      <c r="AQ1023" s="3" t="s">
        <v>58</v>
      </c>
      <c r="AS1023" s="6" t="str">
        <f>HYPERLINK("https://creighton-primo.hosted.exlibrisgroup.com/primo-explore/search?tab=default_tab&amp;search_scope=EVERYTHING&amp;vid=01CRU&amp;lang=en_US&amp;offset=0&amp;query=any,contains,991002444609702656","Catalog Record")</f>
        <v>Catalog Record</v>
      </c>
      <c r="AT1023" s="6" t="str">
        <f>HYPERLINK("http://www.worldcat.org/oclc/31883296","WorldCat Record")</f>
        <v>WorldCat Record</v>
      </c>
      <c r="AU1023" s="3" t="s">
        <v>12843</v>
      </c>
      <c r="AV1023" s="3" t="s">
        <v>12844</v>
      </c>
      <c r="AW1023" s="3" t="s">
        <v>12845</v>
      </c>
      <c r="AX1023" s="3" t="s">
        <v>12845</v>
      </c>
      <c r="AY1023" s="3" t="s">
        <v>12846</v>
      </c>
      <c r="AZ1023" s="3" t="s">
        <v>75</v>
      </c>
      <c r="BB1023" s="3" t="s">
        <v>12847</v>
      </c>
      <c r="BC1023" s="3" t="s">
        <v>12848</v>
      </c>
      <c r="BD1023" s="3" t="s">
        <v>12849</v>
      </c>
    </row>
    <row r="1024" spans="1:56" ht="39" customHeight="1" x14ac:dyDescent="0.25">
      <c r="A1024" s="7" t="s">
        <v>58</v>
      </c>
      <c r="B1024" s="2" t="s">
        <v>12850</v>
      </c>
      <c r="C1024" s="2" t="s">
        <v>12851</v>
      </c>
      <c r="D1024" s="2" t="s">
        <v>12852</v>
      </c>
      <c r="F1024" s="3" t="s">
        <v>58</v>
      </c>
      <c r="G1024" s="3" t="s">
        <v>59</v>
      </c>
      <c r="H1024" s="3" t="s">
        <v>58</v>
      </c>
      <c r="I1024" s="3" t="s">
        <v>58</v>
      </c>
      <c r="J1024" s="3" t="s">
        <v>60</v>
      </c>
      <c r="K1024" s="2" t="s">
        <v>12853</v>
      </c>
      <c r="L1024" s="2" t="s">
        <v>12854</v>
      </c>
      <c r="M1024" s="3" t="s">
        <v>871</v>
      </c>
      <c r="O1024" s="3" t="s">
        <v>65</v>
      </c>
      <c r="P1024" s="3" t="s">
        <v>186</v>
      </c>
      <c r="Q1024" s="2" t="s">
        <v>12855</v>
      </c>
      <c r="R1024" s="3" t="s">
        <v>68</v>
      </c>
      <c r="S1024" s="4">
        <v>1</v>
      </c>
      <c r="T1024" s="4">
        <v>1</v>
      </c>
      <c r="U1024" s="5" t="s">
        <v>833</v>
      </c>
      <c r="V1024" s="5" t="s">
        <v>833</v>
      </c>
      <c r="W1024" s="5" t="s">
        <v>12856</v>
      </c>
      <c r="X1024" s="5" t="s">
        <v>12856</v>
      </c>
      <c r="Y1024" s="4">
        <v>145</v>
      </c>
      <c r="Z1024" s="4">
        <v>130</v>
      </c>
      <c r="AA1024" s="4">
        <v>547</v>
      </c>
      <c r="AB1024" s="4">
        <v>2</v>
      </c>
      <c r="AC1024" s="4">
        <v>6</v>
      </c>
      <c r="AD1024" s="4">
        <v>7</v>
      </c>
      <c r="AE1024" s="4">
        <v>35</v>
      </c>
      <c r="AF1024" s="4">
        <v>1</v>
      </c>
      <c r="AG1024" s="4">
        <v>12</v>
      </c>
      <c r="AH1024" s="4">
        <v>2</v>
      </c>
      <c r="AI1024" s="4">
        <v>7</v>
      </c>
      <c r="AJ1024" s="4">
        <v>5</v>
      </c>
      <c r="AK1024" s="4">
        <v>23</v>
      </c>
      <c r="AL1024" s="4">
        <v>0</v>
      </c>
      <c r="AM1024" s="4">
        <v>4</v>
      </c>
      <c r="AN1024" s="4">
        <v>0</v>
      </c>
      <c r="AO1024" s="4">
        <v>0</v>
      </c>
      <c r="AP1024" s="3" t="s">
        <v>58</v>
      </c>
      <c r="AQ1024" s="3" t="s">
        <v>58</v>
      </c>
      <c r="AS1024" s="6" t="str">
        <f>HYPERLINK("https://creighton-primo.hosted.exlibrisgroup.com/primo-explore/search?tab=default_tab&amp;search_scope=EVERYTHING&amp;vid=01CRU&amp;lang=en_US&amp;offset=0&amp;query=any,contains,991004104359702656","Catalog Record")</f>
        <v>Catalog Record</v>
      </c>
      <c r="AT1024" s="6" t="str">
        <f>HYPERLINK("http://www.worldcat.org/oclc/2377924","WorldCat Record")</f>
        <v>WorldCat Record</v>
      </c>
      <c r="AU1024" s="3" t="s">
        <v>12857</v>
      </c>
      <c r="AV1024" s="3" t="s">
        <v>12858</v>
      </c>
      <c r="AW1024" s="3" t="s">
        <v>12859</v>
      </c>
      <c r="AX1024" s="3" t="s">
        <v>12859</v>
      </c>
      <c r="AY1024" s="3" t="s">
        <v>12860</v>
      </c>
      <c r="AZ1024" s="3" t="s">
        <v>75</v>
      </c>
      <c r="BB1024" s="3" t="s">
        <v>12861</v>
      </c>
      <c r="BC1024" s="3" t="s">
        <v>12862</v>
      </c>
      <c r="BD1024" s="3" t="s">
        <v>12863</v>
      </c>
    </row>
    <row r="1025" spans="1:56" ht="39" customHeight="1" x14ac:dyDescent="0.25">
      <c r="A1025" s="7" t="s">
        <v>58</v>
      </c>
      <c r="B1025" s="2" t="s">
        <v>12864</v>
      </c>
      <c r="C1025" s="2" t="s">
        <v>12865</v>
      </c>
      <c r="D1025" s="2" t="s">
        <v>12866</v>
      </c>
      <c r="F1025" s="3" t="s">
        <v>58</v>
      </c>
      <c r="G1025" s="3" t="s">
        <v>59</v>
      </c>
      <c r="H1025" s="3" t="s">
        <v>58</v>
      </c>
      <c r="I1025" s="3" t="s">
        <v>58</v>
      </c>
      <c r="J1025" s="3" t="s">
        <v>60</v>
      </c>
      <c r="L1025" s="2" t="s">
        <v>12867</v>
      </c>
      <c r="M1025" s="3" t="s">
        <v>781</v>
      </c>
      <c r="O1025" s="3" t="s">
        <v>65</v>
      </c>
      <c r="P1025" s="3" t="s">
        <v>186</v>
      </c>
      <c r="Q1025" s="2" t="s">
        <v>12868</v>
      </c>
      <c r="R1025" s="3" t="s">
        <v>68</v>
      </c>
      <c r="S1025" s="4">
        <v>4</v>
      </c>
      <c r="T1025" s="4">
        <v>4</v>
      </c>
      <c r="U1025" s="5" t="s">
        <v>12869</v>
      </c>
      <c r="V1025" s="5" t="s">
        <v>12869</v>
      </c>
      <c r="W1025" s="5" t="s">
        <v>12856</v>
      </c>
      <c r="X1025" s="5" t="s">
        <v>12856</v>
      </c>
      <c r="Y1025" s="4">
        <v>389</v>
      </c>
      <c r="Z1025" s="4">
        <v>351</v>
      </c>
      <c r="AA1025" s="4">
        <v>358</v>
      </c>
      <c r="AB1025" s="4">
        <v>2</v>
      </c>
      <c r="AC1025" s="4">
        <v>2</v>
      </c>
      <c r="AD1025" s="4">
        <v>20</v>
      </c>
      <c r="AE1025" s="4">
        <v>20</v>
      </c>
      <c r="AF1025" s="4">
        <v>8</v>
      </c>
      <c r="AG1025" s="4">
        <v>8</v>
      </c>
      <c r="AH1025" s="4">
        <v>4</v>
      </c>
      <c r="AI1025" s="4">
        <v>4</v>
      </c>
      <c r="AJ1025" s="4">
        <v>15</v>
      </c>
      <c r="AK1025" s="4">
        <v>15</v>
      </c>
      <c r="AL1025" s="4">
        <v>1</v>
      </c>
      <c r="AM1025" s="4">
        <v>1</v>
      </c>
      <c r="AN1025" s="4">
        <v>0</v>
      </c>
      <c r="AO1025" s="4">
        <v>0</v>
      </c>
      <c r="AP1025" s="3" t="s">
        <v>58</v>
      </c>
      <c r="AQ1025" s="3" t="s">
        <v>132</v>
      </c>
      <c r="AR1025" s="6" t="str">
        <f>HYPERLINK("http://catalog.hathitrust.org/Record/000428241","HathiTrust Record")</f>
        <v>HathiTrust Record</v>
      </c>
      <c r="AS1025" s="6" t="str">
        <f>HYPERLINK("https://creighton-primo.hosted.exlibrisgroup.com/primo-explore/search?tab=default_tab&amp;search_scope=EVERYTHING&amp;vid=01CRU&amp;lang=en_US&amp;offset=0&amp;query=any,contains,991000561959702656","Catalog Record")</f>
        <v>Catalog Record</v>
      </c>
      <c r="AT1025" s="6" t="str">
        <f>HYPERLINK("http://www.worldcat.org/oclc/11599065","WorldCat Record")</f>
        <v>WorldCat Record</v>
      </c>
      <c r="AU1025" s="3" t="s">
        <v>12870</v>
      </c>
      <c r="AV1025" s="3" t="s">
        <v>12871</v>
      </c>
      <c r="AW1025" s="3" t="s">
        <v>12872</v>
      </c>
      <c r="AX1025" s="3" t="s">
        <v>12872</v>
      </c>
      <c r="AY1025" s="3" t="s">
        <v>12873</v>
      </c>
      <c r="AZ1025" s="3" t="s">
        <v>75</v>
      </c>
      <c r="BB1025" s="3" t="s">
        <v>12874</v>
      </c>
      <c r="BC1025" s="3" t="s">
        <v>12875</v>
      </c>
      <c r="BD1025" s="3" t="s">
        <v>12876</v>
      </c>
    </row>
    <row r="1026" spans="1:56" ht="39" customHeight="1" x14ac:dyDescent="0.25">
      <c r="A1026" s="7" t="s">
        <v>58</v>
      </c>
      <c r="B1026" s="2" t="s">
        <v>12877</v>
      </c>
      <c r="C1026" s="2" t="s">
        <v>12878</v>
      </c>
      <c r="D1026" s="2" t="s">
        <v>12879</v>
      </c>
      <c r="F1026" s="3" t="s">
        <v>58</v>
      </c>
      <c r="G1026" s="3" t="s">
        <v>59</v>
      </c>
      <c r="H1026" s="3" t="s">
        <v>58</v>
      </c>
      <c r="I1026" s="3" t="s">
        <v>58</v>
      </c>
      <c r="J1026" s="3" t="s">
        <v>60</v>
      </c>
      <c r="L1026" s="2" t="s">
        <v>12880</v>
      </c>
      <c r="M1026" s="3" t="s">
        <v>439</v>
      </c>
      <c r="N1026" s="2" t="s">
        <v>2558</v>
      </c>
      <c r="O1026" s="3" t="s">
        <v>65</v>
      </c>
      <c r="P1026" s="3" t="s">
        <v>186</v>
      </c>
      <c r="R1026" s="3" t="s">
        <v>68</v>
      </c>
      <c r="S1026" s="4">
        <v>3</v>
      </c>
      <c r="T1026" s="4">
        <v>3</v>
      </c>
      <c r="U1026" s="5" t="s">
        <v>12881</v>
      </c>
      <c r="V1026" s="5" t="s">
        <v>12881</v>
      </c>
      <c r="W1026" s="5" t="s">
        <v>12856</v>
      </c>
      <c r="X1026" s="5" t="s">
        <v>12856</v>
      </c>
      <c r="Y1026" s="4">
        <v>168</v>
      </c>
      <c r="Z1026" s="4">
        <v>131</v>
      </c>
      <c r="AA1026" s="4">
        <v>212</v>
      </c>
      <c r="AB1026" s="4">
        <v>1</v>
      </c>
      <c r="AC1026" s="4">
        <v>1</v>
      </c>
      <c r="AD1026" s="4">
        <v>15</v>
      </c>
      <c r="AE1026" s="4">
        <v>19</v>
      </c>
      <c r="AF1026" s="4">
        <v>2</v>
      </c>
      <c r="AG1026" s="4">
        <v>3</v>
      </c>
      <c r="AH1026" s="4">
        <v>7</v>
      </c>
      <c r="AI1026" s="4">
        <v>7</v>
      </c>
      <c r="AJ1026" s="4">
        <v>11</v>
      </c>
      <c r="AK1026" s="4">
        <v>14</v>
      </c>
      <c r="AL1026" s="4">
        <v>0</v>
      </c>
      <c r="AM1026" s="4">
        <v>0</v>
      </c>
      <c r="AN1026" s="4">
        <v>0</v>
      </c>
      <c r="AO1026" s="4">
        <v>0</v>
      </c>
      <c r="AP1026" s="3" t="s">
        <v>58</v>
      </c>
      <c r="AQ1026" s="3" t="s">
        <v>132</v>
      </c>
      <c r="AR1026" s="6" t="str">
        <f>HYPERLINK("http://catalog.hathitrust.org/Record/009490114","HathiTrust Record")</f>
        <v>HathiTrust Record</v>
      </c>
      <c r="AS1026" s="6" t="str">
        <f>HYPERLINK("https://creighton-primo.hosted.exlibrisgroup.com/primo-explore/search?tab=default_tab&amp;search_scope=EVERYTHING&amp;vid=01CRU&amp;lang=en_US&amp;offset=0&amp;query=any,contains,991004937629702656","Catalog Record")</f>
        <v>Catalog Record</v>
      </c>
      <c r="AT1026" s="6" t="str">
        <f>HYPERLINK("http://www.worldcat.org/oclc/6144158","WorldCat Record")</f>
        <v>WorldCat Record</v>
      </c>
      <c r="AU1026" s="3" t="s">
        <v>12882</v>
      </c>
      <c r="AV1026" s="3" t="s">
        <v>12883</v>
      </c>
      <c r="AW1026" s="3" t="s">
        <v>12884</v>
      </c>
      <c r="AX1026" s="3" t="s">
        <v>12884</v>
      </c>
      <c r="AY1026" s="3" t="s">
        <v>12885</v>
      </c>
      <c r="AZ1026" s="3" t="s">
        <v>75</v>
      </c>
      <c r="BB1026" s="3" t="s">
        <v>12886</v>
      </c>
      <c r="BC1026" s="3" t="s">
        <v>12887</v>
      </c>
      <c r="BD1026" s="3" t="s">
        <v>12888</v>
      </c>
    </row>
    <row r="1027" spans="1:56" ht="39" customHeight="1" x14ac:dyDescent="0.25">
      <c r="A1027" s="7" t="s">
        <v>58</v>
      </c>
      <c r="B1027" s="2" t="s">
        <v>12889</v>
      </c>
      <c r="C1027" s="2" t="s">
        <v>12890</v>
      </c>
      <c r="D1027" s="2" t="s">
        <v>12891</v>
      </c>
      <c r="F1027" s="3" t="s">
        <v>58</v>
      </c>
      <c r="G1027" s="3" t="s">
        <v>59</v>
      </c>
      <c r="H1027" s="3" t="s">
        <v>58</v>
      </c>
      <c r="I1027" s="3" t="s">
        <v>58</v>
      </c>
      <c r="J1027" s="3" t="s">
        <v>60</v>
      </c>
      <c r="K1027" s="2" t="s">
        <v>12892</v>
      </c>
      <c r="L1027" s="2" t="s">
        <v>12893</v>
      </c>
      <c r="M1027" s="3" t="s">
        <v>1424</v>
      </c>
      <c r="O1027" s="3" t="s">
        <v>65</v>
      </c>
      <c r="P1027" s="3" t="s">
        <v>492</v>
      </c>
      <c r="Q1027" s="2" t="s">
        <v>12894</v>
      </c>
      <c r="R1027" s="3" t="s">
        <v>68</v>
      </c>
      <c r="S1027" s="4">
        <v>5</v>
      </c>
      <c r="T1027" s="4">
        <v>5</v>
      </c>
      <c r="U1027" s="5" t="s">
        <v>12895</v>
      </c>
      <c r="V1027" s="5" t="s">
        <v>12895</v>
      </c>
      <c r="W1027" s="5" t="s">
        <v>12896</v>
      </c>
      <c r="X1027" s="5" t="s">
        <v>12896</v>
      </c>
      <c r="Y1027" s="4">
        <v>207</v>
      </c>
      <c r="Z1027" s="4">
        <v>178</v>
      </c>
      <c r="AA1027" s="4">
        <v>180</v>
      </c>
      <c r="AB1027" s="4">
        <v>2</v>
      </c>
      <c r="AC1027" s="4">
        <v>2</v>
      </c>
      <c r="AD1027" s="4">
        <v>26</v>
      </c>
      <c r="AE1027" s="4">
        <v>26</v>
      </c>
      <c r="AF1027" s="4">
        <v>7</v>
      </c>
      <c r="AG1027" s="4">
        <v>7</v>
      </c>
      <c r="AH1027" s="4">
        <v>7</v>
      </c>
      <c r="AI1027" s="4">
        <v>7</v>
      </c>
      <c r="AJ1027" s="4">
        <v>20</v>
      </c>
      <c r="AK1027" s="4">
        <v>20</v>
      </c>
      <c r="AL1027" s="4">
        <v>0</v>
      </c>
      <c r="AM1027" s="4">
        <v>0</v>
      </c>
      <c r="AN1027" s="4">
        <v>0</v>
      </c>
      <c r="AO1027" s="4">
        <v>0</v>
      </c>
      <c r="AP1027" s="3" t="s">
        <v>58</v>
      </c>
      <c r="AQ1027" s="3" t="s">
        <v>58</v>
      </c>
      <c r="AS1027" s="6" t="str">
        <f>HYPERLINK("https://creighton-primo.hosted.exlibrisgroup.com/primo-explore/search?tab=default_tab&amp;search_scope=EVERYTHING&amp;vid=01CRU&amp;lang=en_US&amp;offset=0&amp;query=any,contains,991003716739702656","Catalog Record")</f>
        <v>Catalog Record</v>
      </c>
      <c r="AT1027" s="6" t="str">
        <f>HYPERLINK("http://www.worldcat.org/oclc/1362224","WorldCat Record")</f>
        <v>WorldCat Record</v>
      </c>
      <c r="AU1027" s="3" t="s">
        <v>12897</v>
      </c>
      <c r="AV1027" s="3" t="s">
        <v>12898</v>
      </c>
      <c r="AW1027" s="3" t="s">
        <v>12899</v>
      </c>
      <c r="AX1027" s="3" t="s">
        <v>12899</v>
      </c>
      <c r="AY1027" s="3" t="s">
        <v>12900</v>
      </c>
      <c r="AZ1027" s="3" t="s">
        <v>75</v>
      </c>
      <c r="BC1027" s="3" t="s">
        <v>12901</v>
      </c>
      <c r="BD1027" s="3" t="s">
        <v>12902</v>
      </c>
    </row>
    <row r="1028" spans="1:56" ht="39" customHeight="1" x14ac:dyDescent="0.25">
      <c r="A1028" s="7" t="s">
        <v>58</v>
      </c>
      <c r="B1028" s="2" t="s">
        <v>12903</v>
      </c>
      <c r="C1028" s="2" t="s">
        <v>12904</v>
      </c>
      <c r="D1028" s="2" t="s">
        <v>12905</v>
      </c>
      <c r="F1028" s="3" t="s">
        <v>58</v>
      </c>
      <c r="G1028" s="3" t="s">
        <v>59</v>
      </c>
      <c r="H1028" s="3" t="s">
        <v>58</v>
      </c>
      <c r="I1028" s="3" t="s">
        <v>58</v>
      </c>
      <c r="J1028" s="3" t="s">
        <v>60</v>
      </c>
      <c r="K1028" s="2" t="s">
        <v>12906</v>
      </c>
      <c r="L1028" s="2" t="s">
        <v>12907</v>
      </c>
      <c r="M1028" s="3" t="s">
        <v>966</v>
      </c>
      <c r="O1028" s="3" t="s">
        <v>65</v>
      </c>
      <c r="P1028" s="3" t="s">
        <v>186</v>
      </c>
      <c r="Q1028" s="2" t="s">
        <v>12908</v>
      </c>
      <c r="R1028" s="3" t="s">
        <v>68</v>
      </c>
      <c r="S1028" s="4">
        <v>1</v>
      </c>
      <c r="T1028" s="4">
        <v>1</v>
      </c>
      <c r="U1028" s="5" t="s">
        <v>12909</v>
      </c>
      <c r="V1028" s="5" t="s">
        <v>12909</v>
      </c>
      <c r="W1028" s="5" t="s">
        <v>12910</v>
      </c>
      <c r="X1028" s="5" t="s">
        <v>12910</v>
      </c>
      <c r="Y1028" s="4">
        <v>160</v>
      </c>
      <c r="Z1028" s="4">
        <v>136</v>
      </c>
      <c r="AA1028" s="4">
        <v>137</v>
      </c>
      <c r="AB1028" s="4">
        <v>3</v>
      </c>
      <c r="AC1028" s="4">
        <v>3</v>
      </c>
      <c r="AD1028" s="4">
        <v>9</v>
      </c>
      <c r="AE1028" s="4">
        <v>9</v>
      </c>
      <c r="AF1028" s="4">
        <v>3</v>
      </c>
      <c r="AG1028" s="4">
        <v>3</v>
      </c>
      <c r="AH1028" s="4">
        <v>2</v>
      </c>
      <c r="AI1028" s="4">
        <v>2</v>
      </c>
      <c r="AJ1028" s="4">
        <v>5</v>
      </c>
      <c r="AK1028" s="4">
        <v>5</v>
      </c>
      <c r="AL1028" s="4">
        <v>2</v>
      </c>
      <c r="AM1028" s="4">
        <v>2</v>
      </c>
      <c r="AN1028" s="4">
        <v>0</v>
      </c>
      <c r="AO1028" s="4">
        <v>0</v>
      </c>
      <c r="AP1028" s="3" t="s">
        <v>58</v>
      </c>
      <c r="AQ1028" s="3" t="s">
        <v>58</v>
      </c>
      <c r="AS1028" s="6" t="str">
        <f>HYPERLINK("https://creighton-primo.hosted.exlibrisgroup.com/primo-explore/search?tab=default_tab&amp;search_scope=EVERYTHING&amp;vid=01CRU&amp;lang=en_US&amp;offset=0&amp;query=any,contains,991002223669702656","Catalog Record")</f>
        <v>Catalog Record</v>
      </c>
      <c r="AT1028" s="6" t="str">
        <f>HYPERLINK("http://www.worldcat.org/oclc/28634603","WorldCat Record")</f>
        <v>WorldCat Record</v>
      </c>
      <c r="AU1028" s="3" t="s">
        <v>12911</v>
      </c>
      <c r="AV1028" s="3" t="s">
        <v>12912</v>
      </c>
      <c r="AW1028" s="3" t="s">
        <v>12913</v>
      </c>
      <c r="AX1028" s="3" t="s">
        <v>12913</v>
      </c>
      <c r="AY1028" s="3" t="s">
        <v>12914</v>
      </c>
      <c r="AZ1028" s="3" t="s">
        <v>75</v>
      </c>
      <c r="BB1028" s="3" t="s">
        <v>12915</v>
      </c>
      <c r="BC1028" s="3" t="s">
        <v>12916</v>
      </c>
      <c r="BD1028" s="3" t="s">
        <v>12917</v>
      </c>
    </row>
    <row r="1029" spans="1:56" ht="39" customHeight="1" x14ac:dyDescent="0.25">
      <c r="A1029" s="7" t="s">
        <v>58</v>
      </c>
      <c r="B1029" s="2" t="s">
        <v>12918</v>
      </c>
      <c r="C1029" s="2" t="s">
        <v>12919</v>
      </c>
      <c r="D1029" s="2" t="s">
        <v>12920</v>
      </c>
      <c r="F1029" s="3" t="s">
        <v>58</v>
      </c>
      <c r="G1029" s="3" t="s">
        <v>59</v>
      </c>
      <c r="H1029" s="3" t="s">
        <v>58</v>
      </c>
      <c r="I1029" s="3" t="s">
        <v>58</v>
      </c>
      <c r="J1029" s="3" t="s">
        <v>60</v>
      </c>
      <c r="K1029" s="2" t="s">
        <v>12921</v>
      </c>
      <c r="L1029" s="2" t="s">
        <v>7220</v>
      </c>
      <c r="M1029" s="3" t="s">
        <v>709</v>
      </c>
      <c r="O1029" s="3" t="s">
        <v>65</v>
      </c>
      <c r="P1029" s="3" t="s">
        <v>201</v>
      </c>
      <c r="R1029" s="3" t="s">
        <v>68</v>
      </c>
      <c r="S1029" s="4">
        <v>5</v>
      </c>
      <c r="T1029" s="4">
        <v>5</v>
      </c>
      <c r="U1029" s="5" t="s">
        <v>12922</v>
      </c>
      <c r="V1029" s="5" t="s">
        <v>12922</v>
      </c>
      <c r="W1029" s="5" t="s">
        <v>391</v>
      </c>
      <c r="X1029" s="5" t="s">
        <v>391</v>
      </c>
      <c r="Y1029" s="4">
        <v>612</v>
      </c>
      <c r="Z1029" s="4">
        <v>522</v>
      </c>
      <c r="AA1029" s="4">
        <v>579</v>
      </c>
      <c r="AB1029" s="4">
        <v>3</v>
      </c>
      <c r="AC1029" s="4">
        <v>4</v>
      </c>
      <c r="AD1029" s="4">
        <v>26</v>
      </c>
      <c r="AE1029" s="4">
        <v>29</v>
      </c>
      <c r="AF1029" s="4">
        <v>9</v>
      </c>
      <c r="AG1029" s="4">
        <v>11</v>
      </c>
      <c r="AH1029" s="4">
        <v>6</v>
      </c>
      <c r="AI1029" s="4">
        <v>6</v>
      </c>
      <c r="AJ1029" s="4">
        <v>14</v>
      </c>
      <c r="AK1029" s="4">
        <v>15</v>
      </c>
      <c r="AL1029" s="4">
        <v>2</v>
      </c>
      <c r="AM1029" s="4">
        <v>3</v>
      </c>
      <c r="AN1029" s="4">
        <v>0</v>
      </c>
      <c r="AO1029" s="4">
        <v>0</v>
      </c>
      <c r="AP1029" s="3" t="s">
        <v>58</v>
      </c>
      <c r="AQ1029" s="3" t="s">
        <v>132</v>
      </c>
      <c r="AR1029" s="6" t="str">
        <f>HYPERLINK("http://catalog.hathitrust.org/Record/002437462","HathiTrust Record")</f>
        <v>HathiTrust Record</v>
      </c>
      <c r="AS1029" s="6" t="str">
        <f>HYPERLINK("https://creighton-primo.hosted.exlibrisgroup.com/primo-explore/search?tab=default_tab&amp;search_scope=EVERYTHING&amp;vid=01CRU&amp;lang=en_US&amp;offset=0&amp;query=any,contains,991001687049702656","Catalog Record")</f>
        <v>Catalog Record</v>
      </c>
      <c r="AT1029" s="6" t="str">
        <f>HYPERLINK("http://www.worldcat.org/oclc/21408042","WorldCat Record")</f>
        <v>WorldCat Record</v>
      </c>
      <c r="AU1029" s="3" t="s">
        <v>12923</v>
      </c>
      <c r="AV1029" s="3" t="s">
        <v>12924</v>
      </c>
      <c r="AW1029" s="3" t="s">
        <v>12925</v>
      </c>
      <c r="AX1029" s="3" t="s">
        <v>12925</v>
      </c>
      <c r="AY1029" s="3" t="s">
        <v>12926</v>
      </c>
      <c r="AZ1029" s="3" t="s">
        <v>75</v>
      </c>
      <c r="BB1029" s="3" t="s">
        <v>12927</v>
      </c>
      <c r="BC1029" s="3" t="s">
        <v>12928</v>
      </c>
      <c r="BD1029" s="3" t="s">
        <v>12929</v>
      </c>
    </row>
    <row r="1030" spans="1:56" ht="39" customHeight="1" x14ac:dyDescent="0.25">
      <c r="A1030" s="7" t="s">
        <v>58</v>
      </c>
      <c r="B1030" s="2" t="s">
        <v>12930</v>
      </c>
      <c r="C1030" s="2" t="s">
        <v>12931</v>
      </c>
      <c r="D1030" s="2" t="s">
        <v>12932</v>
      </c>
      <c r="F1030" s="3" t="s">
        <v>58</v>
      </c>
      <c r="G1030" s="3" t="s">
        <v>59</v>
      </c>
      <c r="H1030" s="3" t="s">
        <v>58</v>
      </c>
      <c r="I1030" s="3" t="s">
        <v>58</v>
      </c>
      <c r="J1030" s="3" t="s">
        <v>60</v>
      </c>
      <c r="K1030" s="2" t="s">
        <v>12933</v>
      </c>
      <c r="L1030" s="2" t="s">
        <v>12934</v>
      </c>
      <c r="M1030" s="3" t="s">
        <v>229</v>
      </c>
      <c r="O1030" s="3" t="s">
        <v>65</v>
      </c>
      <c r="P1030" s="3" t="s">
        <v>1358</v>
      </c>
      <c r="R1030" s="3" t="s">
        <v>68</v>
      </c>
      <c r="S1030" s="4">
        <v>4</v>
      </c>
      <c r="T1030" s="4">
        <v>4</v>
      </c>
      <c r="U1030" s="5" t="s">
        <v>2028</v>
      </c>
      <c r="V1030" s="5" t="s">
        <v>2028</v>
      </c>
      <c r="W1030" s="5" t="s">
        <v>698</v>
      </c>
      <c r="X1030" s="5" t="s">
        <v>698</v>
      </c>
      <c r="Y1030" s="4">
        <v>210</v>
      </c>
      <c r="Z1030" s="4">
        <v>176</v>
      </c>
      <c r="AA1030" s="4">
        <v>183</v>
      </c>
      <c r="AB1030" s="4">
        <v>2</v>
      </c>
      <c r="AC1030" s="4">
        <v>2</v>
      </c>
      <c r="AD1030" s="4">
        <v>11</v>
      </c>
      <c r="AE1030" s="4">
        <v>11</v>
      </c>
      <c r="AF1030" s="4">
        <v>3</v>
      </c>
      <c r="AG1030" s="4">
        <v>3</v>
      </c>
      <c r="AH1030" s="4">
        <v>3</v>
      </c>
      <c r="AI1030" s="4">
        <v>3</v>
      </c>
      <c r="AJ1030" s="4">
        <v>6</v>
      </c>
      <c r="AK1030" s="4">
        <v>6</v>
      </c>
      <c r="AL1030" s="4">
        <v>1</v>
      </c>
      <c r="AM1030" s="4">
        <v>1</v>
      </c>
      <c r="AN1030" s="4">
        <v>0</v>
      </c>
      <c r="AO1030" s="4">
        <v>0</v>
      </c>
      <c r="AP1030" s="3" t="s">
        <v>58</v>
      </c>
      <c r="AQ1030" s="3" t="s">
        <v>132</v>
      </c>
      <c r="AR1030" s="6" t="str">
        <f>HYPERLINK("http://catalog.hathitrust.org/Record/001289330","HathiTrust Record")</f>
        <v>HathiTrust Record</v>
      </c>
      <c r="AS1030" s="6" t="str">
        <f>HYPERLINK("https://creighton-primo.hosted.exlibrisgroup.com/primo-explore/search?tab=default_tab&amp;search_scope=EVERYTHING&amp;vid=01CRU&amp;lang=en_US&amp;offset=0&amp;query=any,contains,991001361359702656","Catalog Record")</f>
        <v>Catalog Record</v>
      </c>
      <c r="AT1030" s="6" t="str">
        <f>HYPERLINK("http://www.worldcat.org/oclc/18521449","WorldCat Record")</f>
        <v>WorldCat Record</v>
      </c>
      <c r="AU1030" s="3" t="s">
        <v>12935</v>
      </c>
      <c r="AV1030" s="3" t="s">
        <v>12936</v>
      </c>
      <c r="AW1030" s="3" t="s">
        <v>12937</v>
      </c>
      <c r="AX1030" s="3" t="s">
        <v>12937</v>
      </c>
      <c r="AY1030" s="3" t="s">
        <v>12938</v>
      </c>
      <c r="AZ1030" s="3" t="s">
        <v>75</v>
      </c>
      <c r="BB1030" s="3" t="s">
        <v>12939</v>
      </c>
      <c r="BC1030" s="3" t="s">
        <v>12940</v>
      </c>
      <c r="BD1030" s="3" t="s">
        <v>12941</v>
      </c>
    </row>
    <row r="1031" spans="1:56" ht="39" customHeight="1" x14ac:dyDescent="0.25">
      <c r="A1031" s="7" t="s">
        <v>58</v>
      </c>
      <c r="B1031" s="2" t="s">
        <v>12942</v>
      </c>
      <c r="C1031" s="2" t="s">
        <v>12943</v>
      </c>
      <c r="D1031" s="2" t="s">
        <v>12944</v>
      </c>
      <c r="F1031" s="3" t="s">
        <v>58</v>
      </c>
      <c r="G1031" s="3" t="s">
        <v>59</v>
      </c>
      <c r="H1031" s="3" t="s">
        <v>132</v>
      </c>
      <c r="I1031" s="3" t="s">
        <v>58</v>
      </c>
      <c r="J1031" s="3" t="s">
        <v>60</v>
      </c>
      <c r="K1031" s="2" t="s">
        <v>12945</v>
      </c>
      <c r="L1031" s="2" t="s">
        <v>11864</v>
      </c>
      <c r="M1031" s="3" t="s">
        <v>10683</v>
      </c>
      <c r="O1031" s="3" t="s">
        <v>65</v>
      </c>
      <c r="P1031" s="3" t="s">
        <v>492</v>
      </c>
      <c r="R1031" s="3" t="s">
        <v>68</v>
      </c>
      <c r="S1031" s="4">
        <v>2</v>
      </c>
      <c r="T1031" s="4">
        <v>7</v>
      </c>
      <c r="U1031" s="5" t="s">
        <v>12946</v>
      </c>
      <c r="V1031" s="5" t="s">
        <v>12946</v>
      </c>
      <c r="W1031" s="5" t="s">
        <v>12947</v>
      </c>
      <c r="X1031" s="5" t="s">
        <v>12856</v>
      </c>
      <c r="Y1031" s="4">
        <v>164</v>
      </c>
      <c r="Z1031" s="4">
        <v>145</v>
      </c>
      <c r="AA1031" s="4">
        <v>277</v>
      </c>
      <c r="AB1031" s="4">
        <v>1</v>
      </c>
      <c r="AC1031" s="4">
        <v>2</v>
      </c>
      <c r="AD1031" s="4">
        <v>25</v>
      </c>
      <c r="AE1031" s="4">
        <v>35</v>
      </c>
      <c r="AF1031" s="4">
        <v>6</v>
      </c>
      <c r="AG1031" s="4">
        <v>10</v>
      </c>
      <c r="AH1031" s="4">
        <v>6</v>
      </c>
      <c r="AI1031" s="4">
        <v>7</v>
      </c>
      <c r="AJ1031" s="4">
        <v>21</v>
      </c>
      <c r="AK1031" s="4">
        <v>21</v>
      </c>
      <c r="AL1031" s="4">
        <v>0</v>
      </c>
      <c r="AM1031" s="4">
        <v>1</v>
      </c>
      <c r="AN1031" s="4">
        <v>0</v>
      </c>
      <c r="AO1031" s="4">
        <v>5</v>
      </c>
      <c r="AP1031" s="3" t="s">
        <v>132</v>
      </c>
      <c r="AQ1031" s="3" t="s">
        <v>58</v>
      </c>
      <c r="AR1031" s="6" t="str">
        <f>HYPERLINK("http://catalog.hathitrust.org/Record/005780063","HathiTrust Record")</f>
        <v>HathiTrust Record</v>
      </c>
      <c r="AS1031" s="6" t="str">
        <f>HYPERLINK("https://creighton-primo.hosted.exlibrisgroup.com/primo-explore/search?tab=default_tab&amp;search_scope=EVERYTHING&amp;vid=01CRU&amp;lang=en_US&amp;offset=0&amp;query=any,contains,991003725379702656","Catalog Record")</f>
        <v>Catalog Record</v>
      </c>
      <c r="AT1031" s="6" t="str">
        <f>HYPERLINK("http://www.worldcat.org/oclc/1372026","WorldCat Record")</f>
        <v>WorldCat Record</v>
      </c>
      <c r="AU1031" s="3" t="s">
        <v>12948</v>
      </c>
      <c r="AV1031" s="3" t="s">
        <v>12949</v>
      </c>
      <c r="AW1031" s="3" t="s">
        <v>12950</v>
      </c>
      <c r="AX1031" s="3" t="s">
        <v>12950</v>
      </c>
      <c r="AY1031" s="3" t="s">
        <v>12951</v>
      </c>
      <c r="AZ1031" s="3" t="s">
        <v>75</v>
      </c>
      <c r="BC1031" s="3" t="s">
        <v>12952</v>
      </c>
      <c r="BD1031" s="3" t="s">
        <v>12953</v>
      </c>
    </row>
    <row r="1032" spans="1:56" ht="39" customHeight="1" x14ac:dyDescent="0.25">
      <c r="A1032" s="7" t="s">
        <v>58</v>
      </c>
      <c r="B1032" s="2" t="s">
        <v>12942</v>
      </c>
      <c r="C1032" s="2" t="s">
        <v>12943</v>
      </c>
      <c r="D1032" s="2" t="s">
        <v>12944</v>
      </c>
      <c r="F1032" s="3" t="s">
        <v>58</v>
      </c>
      <c r="G1032" s="3" t="s">
        <v>59</v>
      </c>
      <c r="H1032" s="3" t="s">
        <v>132</v>
      </c>
      <c r="I1032" s="3" t="s">
        <v>58</v>
      </c>
      <c r="J1032" s="3" t="s">
        <v>60</v>
      </c>
      <c r="K1032" s="2" t="s">
        <v>12945</v>
      </c>
      <c r="L1032" s="2" t="s">
        <v>11864</v>
      </c>
      <c r="M1032" s="3" t="s">
        <v>10683</v>
      </c>
      <c r="O1032" s="3" t="s">
        <v>65</v>
      </c>
      <c r="P1032" s="3" t="s">
        <v>492</v>
      </c>
      <c r="R1032" s="3" t="s">
        <v>68</v>
      </c>
      <c r="S1032" s="4">
        <v>5</v>
      </c>
      <c r="T1032" s="4">
        <v>7</v>
      </c>
      <c r="U1032" s="5" t="s">
        <v>12954</v>
      </c>
      <c r="V1032" s="5" t="s">
        <v>12946</v>
      </c>
      <c r="W1032" s="5" t="s">
        <v>12856</v>
      </c>
      <c r="X1032" s="5" t="s">
        <v>12856</v>
      </c>
      <c r="Y1032" s="4">
        <v>164</v>
      </c>
      <c r="Z1032" s="4">
        <v>145</v>
      </c>
      <c r="AA1032" s="4">
        <v>277</v>
      </c>
      <c r="AB1032" s="4">
        <v>1</v>
      </c>
      <c r="AC1032" s="4">
        <v>2</v>
      </c>
      <c r="AD1032" s="4">
        <v>25</v>
      </c>
      <c r="AE1032" s="4">
        <v>35</v>
      </c>
      <c r="AF1032" s="4">
        <v>6</v>
      </c>
      <c r="AG1032" s="4">
        <v>10</v>
      </c>
      <c r="AH1032" s="4">
        <v>6</v>
      </c>
      <c r="AI1032" s="4">
        <v>7</v>
      </c>
      <c r="AJ1032" s="4">
        <v>21</v>
      </c>
      <c r="AK1032" s="4">
        <v>21</v>
      </c>
      <c r="AL1032" s="4">
        <v>0</v>
      </c>
      <c r="AM1032" s="4">
        <v>1</v>
      </c>
      <c r="AN1032" s="4">
        <v>0</v>
      </c>
      <c r="AO1032" s="4">
        <v>5</v>
      </c>
      <c r="AP1032" s="3" t="s">
        <v>132</v>
      </c>
      <c r="AQ1032" s="3" t="s">
        <v>58</v>
      </c>
      <c r="AR1032" s="6" t="str">
        <f>HYPERLINK("http://catalog.hathitrust.org/Record/005780063","HathiTrust Record")</f>
        <v>HathiTrust Record</v>
      </c>
      <c r="AS1032" s="6" t="str">
        <f>HYPERLINK("https://creighton-primo.hosted.exlibrisgroup.com/primo-explore/search?tab=default_tab&amp;search_scope=EVERYTHING&amp;vid=01CRU&amp;lang=en_US&amp;offset=0&amp;query=any,contains,991003725379702656","Catalog Record")</f>
        <v>Catalog Record</v>
      </c>
      <c r="AT1032" s="6" t="str">
        <f>HYPERLINK("http://www.worldcat.org/oclc/1372026","WorldCat Record")</f>
        <v>WorldCat Record</v>
      </c>
      <c r="AU1032" s="3" t="s">
        <v>12948</v>
      </c>
      <c r="AV1032" s="3" t="s">
        <v>12949</v>
      </c>
      <c r="AW1032" s="3" t="s">
        <v>12950</v>
      </c>
      <c r="AX1032" s="3" t="s">
        <v>12950</v>
      </c>
      <c r="AY1032" s="3" t="s">
        <v>12951</v>
      </c>
      <c r="AZ1032" s="3" t="s">
        <v>75</v>
      </c>
      <c r="BC1032" s="3" t="s">
        <v>12955</v>
      </c>
      <c r="BD1032" s="3" t="s">
        <v>12956</v>
      </c>
    </row>
    <row r="1033" spans="1:56" ht="39" customHeight="1" x14ac:dyDescent="0.25">
      <c r="A1033" s="7" t="s">
        <v>58</v>
      </c>
      <c r="B1033" s="2" t="s">
        <v>12957</v>
      </c>
      <c r="C1033" s="2" t="s">
        <v>12958</v>
      </c>
      <c r="D1033" s="2" t="s">
        <v>12959</v>
      </c>
      <c r="F1033" s="3" t="s">
        <v>58</v>
      </c>
      <c r="G1033" s="3" t="s">
        <v>59</v>
      </c>
      <c r="H1033" s="3" t="s">
        <v>58</v>
      </c>
      <c r="I1033" s="3" t="s">
        <v>58</v>
      </c>
      <c r="J1033" s="3" t="s">
        <v>60</v>
      </c>
      <c r="K1033" s="2" t="s">
        <v>12960</v>
      </c>
      <c r="L1033" s="2" t="s">
        <v>12961</v>
      </c>
      <c r="M1033" s="3" t="s">
        <v>172</v>
      </c>
      <c r="O1033" s="3" t="s">
        <v>65</v>
      </c>
      <c r="P1033" s="3" t="s">
        <v>346</v>
      </c>
      <c r="R1033" s="3" t="s">
        <v>68</v>
      </c>
      <c r="S1033" s="4">
        <v>9</v>
      </c>
      <c r="T1033" s="4">
        <v>9</v>
      </c>
      <c r="U1033" s="5" t="s">
        <v>12962</v>
      </c>
      <c r="V1033" s="5" t="s">
        <v>12962</v>
      </c>
      <c r="W1033" s="5" t="s">
        <v>12947</v>
      </c>
      <c r="X1033" s="5" t="s">
        <v>12947</v>
      </c>
      <c r="Y1033" s="4">
        <v>751</v>
      </c>
      <c r="Z1033" s="4">
        <v>701</v>
      </c>
      <c r="AA1033" s="4">
        <v>711</v>
      </c>
      <c r="AB1033" s="4">
        <v>5</v>
      </c>
      <c r="AC1033" s="4">
        <v>5</v>
      </c>
      <c r="AD1033" s="4">
        <v>33</v>
      </c>
      <c r="AE1033" s="4">
        <v>33</v>
      </c>
      <c r="AF1033" s="4">
        <v>15</v>
      </c>
      <c r="AG1033" s="4">
        <v>15</v>
      </c>
      <c r="AH1033" s="4">
        <v>7</v>
      </c>
      <c r="AI1033" s="4">
        <v>7</v>
      </c>
      <c r="AJ1033" s="4">
        <v>15</v>
      </c>
      <c r="AK1033" s="4">
        <v>15</v>
      </c>
      <c r="AL1033" s="4">
        <v>3</v>
      </c>
      <c r="AM1033" s="4">
        <v>3</v>
      </c>
      <c r="AN1033" s="4">
        <v>0</v>
      </c>
      <c r="AO1033" s="4">
        <v>0</v>
      </c>
      <c r="AP1033" s="3" t="s">
        <v>58</v>
      </c>
      <c r="AQ1033" s="3" t="s">
        <v>132</v>
      </c>
      <c r="AR1033" s="6" t="str">
        <f>HYPERLINK("http://catalog.hathitrust.org/Record/001413382","HathiTrust Record")</f>
        <v>HathiTrust Record</v>
      </c>
      <c r="AS1033" s="6" t="str">
        <f>HYPERLINK("https://creighton-primo.hosted.exlibrisgroup.com/primo-explore/search?tab=default_tab&amp;search_scope=EVERYTHING&amp;vid=01CRU&amp;lang=en_US&amp;offset=0&amp;query=any,contains,991001907689702656","Catalog Record")</f>
        <v>Catalog Record</v>
      </c>
      <c r="AT1033" s="6" t="str">
        <f>HYPERLINK("http://www.worldcat.org/oclc/241094","WorldCat Record")</f>
        <v>WorldCat Record</v>
      </c>
      <c r="AU1033" s="3" t="s">
        <v>12963</v>
      </c>
      <c r="AV1033" s="3" t="s">
        <v>12964</v>
      </c>
      <c r="AW1033" s="3" t="s">
        <v>12965</v>
      </c>
      <c r="AX1033" s="3" t="s">
        <v>12965</v>
      </c>
      <c r="AY1033" s="3" t="s">
        <v>12966</v>
      </c>
      <c r="AZ1033" s="3" t="s">
        <v>75</v>
      </c>
      <c r="BB1033" s="3" t="s">
        <v>12967</v>
      </c>
      <c r="BC1033" s="3" t="s">
        <v>12968</v>
      </c>
      <c r="BD1033" s="3" t="s">
        <v>12969</v>
      </c>
    </row>
    <row r="1034" spans="1:56" ht="39" customHeight="1" x14ac:dyDescent="0.25">
      <c r="A1034" s="7" t="s">
        <v>58</v>
      </c>
      <c r="B1034" s="2" t="s">
        <v>12970</v>
      </c>
      <c r="C1034" s="2" t="s">
        <v>12971</v>
      </c>
      <c r="D1034" s="2" t="s">
        <v>12972</v>
      </c>
      <c r="F1034" s="3" t="s">
        <v>58</v>
      </c>
      <c r="G1034" s="3" t="s">
        <v>59</v>
      </c>
      <c r="H1034" s="3" t="s">
        <v>58</v>
      </c>
      <c r="I1034" s="3" t="s">
        <v>58</v>
      </c>
      <c r="J1034" s="3" t="s">
        <v>60</v>
      </c>
      <c r="K1034" s="2" t="s">
        <v>12973</v>
      </c>
      <c r="L1034" s="2" t="s">
        <v>12974</v>
      </c>
      <c r="M1034" s="3" t="s">
        <v>3656</v>
      </c>
      <c r="O1034" s="3" t="s">
        <v>65</v>
      </c>
      <c r="P1034" s="3" t="s">
        <v>346</v>
      </c>
      <c r="R1034" s="3" t="s">
        <v>68</v>
      </c>
      <c r="S1034" s="4">
        <v>0</v>
      </c>
      <c r="T1034" s="4">
        <v>0</v>
      </c>
      <c r="U1034" s="5" t="s">
        <v>12975</v>
      </c>
      <c r="V1034" s="5" t="s">
        <v>12975</v>
      </c>
      <c r="W1034" s="5" t="s">
        <v>6027</v>
      </c>
      <c r="X1034" s="5" t="s">
        <v>6027</v>
      </c>
      <c r="Y1034" s="4">
        <v>263</v>
      </c>
      <c r="Z1034" s="4">
        <v>226</v>
      </c>
      <c r="AA1034" s="4">
        <v>228</v>
      </c>
      <c r="AB1034" s="4">
        <v>5</v>
      </c>
      <c r="AC1034" s="4">
        <v>5</v>
      </c>
      <c r="AD1034" s="4">
        <v>18</v>
      </c>
      <c r="AE1034" s="4">
        <v>18</v>
      </c>
      <c r="AF1034" s="4">
        <v>3</v>
      </c>
      <c r="AG1034" s="4">
        <v>3</v>
      </c>
      <c r="AH1034" s="4">
        <v>6</v>
      </c>
      <c r="AI1034" s="4">
        <v>6</v>
      </c>
      <c r="AJ1034" s="4">
        <v>9</v>
      </c>
      <c r="AK1034" s="4">
        <v>9</v>
      </c>
      <c r="AL1034" s="4">
        <v>4</v>
      </c>
      <c r="AM1034" s="4">
        <v>4</v>
      </c>
      <c r="AN1034" s="4">
        <v>0</v>
      </c>
      <c r="AO1034" s="4">
        <v>0</v>
      </c>
      <c r="AP1034" s="3" t="s">
        <v>58</v>
      </c>
      <c r="AQ1034" s="3" t="s">
        <v>132</v>
      </c>
      <c r="AR1034" s="6" t="str">
        <f>HYPERLINK("http://catalog.hathitrust.org/Record/003949108","HathiTrust Record")</f>
        <v>HathiTrust Record</v>
      </c>
      <c r="AS1034" s="6" t="str">
        <f>HYPERLINK("https://creighton-primo.hosted.exlibrisgroup.com/primo-explore/search?tab=default_tab&amp;search_scope=EVERYTHING&amp;vid=01CRU&amp;lang=en_US&amp;offset=0&amp;query=any,contains,991002830619702656","Catalog Record")</f>
        <v>Catalog Record</v>
      </c>
      <c r="AT1034" s="6" t="str">
        <f>HYPERLINK("http://www.worldcat.org/oclc/37268239","WorldCat Record")</f>
        <v>WorldCat Record</v>
      </c>
      <c r="AU1034" s="3" t="s">
        <v>12976</v>
      </c>
      <c r="AV1034" s="3" t="s">
        <v>12977</v>
      </c>
      <c r="AW1034" s="3" t="s">
        <v>12978</v>
      </c>
      <c r="AX1034" s="3" t="s">
        <v>12978</v>
      </c>
      <c r="AY1034" s="3" t="s">
        <v>12979</v>
      </c>
      <c r="AZ1034" s="3" t="s">
        <v>75</v>
      </c>
      <c r="BB1034" s="3" t="s">
        <v>12980</v>
      </c>
      <c r="BC1034" s="3" t="s">
        <v>12981</v>
      </c>
      <c r="BD1034" s="3" t="s">
        <v>12982</v>
      </c>
    </row>
    <row r="1035" spans="1:56" ht="39" customHeight="1" x14ac:dyDescent="0.25">
      <c r="A1035" s="7" t="s">
        <v>58</v>
      </c>
      <c r="B1035" s="2" t="s">
        <v>12983</v>
      </c>
      <c r="C1035" s="2" t="s">
        <v>12984</v>
      </c>
      <c r="D1035" s="2" t="s">
        <v>12985</v>
      </c>
      <c r="F1035" s="3" t="s">
        <v>58</v>
      </c>
      <c r="G1035" s="3" t="s">
        <v>59</v>
      </c>
      <c r="H1035" s="3" t="s">
        <v>58</v>
      </c>
      <c r="I1035" s="3" t="s">
        <v>58</v>
      </c>
      <c r="J1035" s="3" t="s">
        <v>60</v>
      </c>
      <c r="K1035" s="2" t="s">
        <v>12986</v>
      </c>
      <c r="L1035" s="2" t="s">
        <v>12987</v>
      </c>
      <c r="M1035" s="3" t="s">
        <v>655</v>
      </c>
      <c r="O1035" s="3" t="s">
        <v>65</v>
      </c>
      <c r="P1035" s="3" t="s">
        <v>186</v>
      </c>
      <c r="R1035" s="3" t="s">
        <v>68</v>
      </c>
      <c r="S1035" s="4">
        <v>3</v>
      </c>
      <c r="T1035" s="4">
        <v>3</v>
      </c>
      <c r="U1035" s="5" t="s">
        <v>12988</v>
      </c>
      <c r="V1035" s="5" t="s">
        <v>12988</v>
      </c>
      <c r="W1035" s="5" t="s">
        <v>12856</v>
      </c>
      <c r="X1035" s="5" t="s">
        <v>12856</v>
      </c>
      <c r="Y1035" s="4">
        <v>744</v>
      </c>
      <c r="Z1035" s="4">
        <v>696</v>
      </c>
      <c r="AA1035" s="4">
        <v>703</v>
      </c>
      <c r="AB1035" s="4">
        <v>7</v>
      </c>
      <c r="AC1035" s="4">
        <v>7</v>
      </c>
      <c r="AD1035" s="4">
        <v>30</v>
      </c>
      <c r="AE1035" s="4">
        <v>30</v>
      </c>
      <c r="AF1035" s="4">
        <v>6</v>
      </c>
      <c r="AG1035" s="4">
        <v>6</v>
      </c>
      <c r="AH1035" s="4">
        <v>8</v>
      </c>
      <c r="AI1035" s="4">
        <v>8</v>
      </c>
      <c r="AJ1035" s="4">
        <v>17</v>
      </c>
      <c r="AK1035" s="4">
        <v>17</v>
      </c>
      <c r="AL1035" s="4">
        <v>5</v>
      </c>
      <c r="AM1035" s="4">
        <v>5</v>
      </c>
      <c r="AN1035" s="4">
        <v>0</v>
      </c>
      <c r="AO1035" s="4">
        <v>0</v>
      </c>
      <c r="AP1035" s="3" t="s">
        <v>58</v>
      </c>
      <c r="AQ1035" s="3" t="s">
        <v>132</v>
      </c>
      <c r="AR1035" s="6" t="str">
        <f>HYPERLINK("http://catalog.hathitrust.org/Record/001413385","HathiTrust Record")</f>
        <v>HathiTrust Record</v>
      </c>
      <c r="AS1035" s="6" t="str">
        <f>HYPERLINK("https://creighton-primo.hosted.exlibrisgroup.com/primo-explore/search?tab=default_tab&amp;search_scope=EVERYTHING&amp;vid=01CRU&amp;lang=en_US&amp;offset=0&amp;query=any,contains,991003068379702656","Catalog Record")</f>
        <v>Catalog Record</v>
      </c>
      <c r="AT1035" s="6" t="str">
        <f>HYPERLINK("http://www.worldcat.org/oclc/623425","WorldCat Record")</f>
        <v>WorldCat Record</v>
      </c>
      <c r="AU1035" s="3" t="s">
        <v>12989</v>
      </c>
      <c r="AV1035" s="3" t="s">
        <v>12990</v>
      </c>
      <c r="AW1035" s="3" t="s">
        <v>12991</v>
      </c>
      <c r="AX1035" s="3" t="s">
        <v>12991</v>
      </c>
      <c r="AY1035" s="3" t="s">
        <v>12992</v>
      </c>
      <c r="AZ1035" s="3" t="s">
        <v>75</v>
      </c>
      <c r="BC1035" s="3" t="s">
        <v>12993</v>
      </c>
      <c r="BD1035" s="3" t="s">
        <v>12994</v>
      </c>
    </row>
    <row r="1036" spans="1:56" ht="39" customHeight="1" x14ac:dyDescent="0.25">
      <c r="A1036" s="7" t="s">
        <v>58</v>
      </c>
      <c r="B1036" s="2" t="s">
        <v>12995</v>
      </c>
      <c r="C1036" s="2" t="s">
        <v>12996</v>
      </c>
      <c r="D1036" s="2" t="s">
        <v>12997</v>
      </c>
      <c r="F1036" s="3" t="s">
        <v>58</v>
      </c>
      <c r="G1036" s="3" t="s">
        <v>59</v>
      </c>
      <c r="H1036" s="3" t="s">
        <v>58</v>
      </c>
      <c r="I1036" s="3" t="s">
        <v>58</v>
      </c>
      <c r="J1036" s="3" t="s">
        <v>60</v>
      </c>
      <c r="L1036" s="2" t="s">
        <v>12998</v>
      </c>
      <c r="M1036" s="3" t="s">
        <v>215</v>
      </c>
      <c r="O1036" s="3" t="s">
        <v>65</v>
      </c>
      <c r="P1036" s="3" t="s">
        <v>11290</v>
      </c>
      <c r="R1036" s="3" t="s">
        <v>68</v>
      </c>
      <c r="S1036" s="4">
        <v>9</v>
      </c>
      <c r="T1036" s="4">
        <v>9</v>
      </c>
      <c r="U1036" s="5" t="s">
        <v>12999</v>
      </c>
      <c r="V1036" s="5" t="s">
        <v>12999</v>
      </c>
      <c r="W1036" s="5" t="s">
        <v>12856</v>
      </c>
      <c r="X1036" s="5" t="s">
        <v>12856</v>
      </c>
      <c r="Y1036" s="4">
        <v>175</v>
      </c>
      <c r="Z1036" s="4">
        <v>78</v>
      </c>
      <c r="AA1036" s="4">
        <v>78</v>
      </c>
      <c r="AB1036" s="4">
        <v>2</v>
      </c>
      <c r="AC1036" s="4">
        <v>2</v>
      </c>
      <c r="AD1036" s="4">
        <v>5</v>
      </c>
      <c r="AE1036" s="4">
        <v>5</v>
      </c>
      <c r="AF1036" s="4">
        <v>1</v>
      </c>
      <c r="AG1036" s="4">
        <v>1</v>
      </c>
      <c r="AH1036" s="4">
        <v>1</v>
      </c>
      <c r="AI1036" s="4">
        <v>1</v>
      </c>
      <c r="AJ1036" s="4">
        <v>3</v>
      </c>
      <c r="AK1036" s="4">
        <v>3</v>
      </c>
      <c r="AL1036" s="4">
        <v>1</v>
      </c>
      <c r="AM1036" s="4">
        <v>1</v>
      </c>
      <c r="AN1036" s="4">
        <v>0</v>
      </c>
      <c r="AO1036" s="4">
        <v>0</v>
      </c>
      <c r="AP1036" s="3" t="s">
        <v>58</v>
      </c>
      <c r="AQ1036" s="3" t="s">
        <v>58</v>
      </c>
      <c r="AS1036" s="6" t="str">
        <f>HYPERLINK("https://creighton-primo.hosted.exlibrisgroup.com/primo-explore/search?tab=default_tab&amp;search_scope=EVERYTHING&amp;vid=01CRU&amp;lang=en_US&amp;offset=0&amp;query=any,contains,991001163349702656","Catalog Record")</f>
        <v>Catalog Record</v>
      </c>
      <c r="AT1036" s="6" t="str">
        <f>HYPERLINK("http://www.worldcat.org/oclc/28992452","WorldCat Record")</f>
        <v>WorldCat Record</v>
      </c>
      <c r="AU1036" s="3" t="s">
        <v>13000</v>
      </c>
      <c r="AV1036" s="3" t="s">
        <v>13001</v>
      </c>
      <c r="AW1036" s="3" t="s">
        <v>13002</v>
      </c>
      <c r="AX1036" s="3" t="s">
        <v>13002</v>
      </c>
      <c r="AY1036" s="3" t="s">
        <v>13003</v>
      </c>
      <c r="AZ1036" s="3" t="s">
        <v>75</v>
      </c>
      <c r="BB1036" s="3" t="s">
        <v>13004</v>
      </c>
      <c r="BC1036" s="3" t="s">
        <v>13005</v>
      </c>
      <c r="BD1036" s="3" t="s">
        <v>13006</v>
      </c>
    </row>
    <row r="1037" spans="1:56" ht="39" customHeight="1" x14ac:dyDescent="0.25">
      <c r="A1037" s="7" t="s">
        <v>58</v>
      </c>
      <c r="B1037" s="2" t="s">
        <v>13007</v>
      </c>
      <c r="C1037" s="2" t="s">
        <v>13008</v>
      </c>
      <c r="D1037" s="2" t="s">
        <v>13009</v>
      </c>
      <c r="F1037" s="3" t="s">
        <v>58</v>
      </c>
      <c r="G1037" s="3" t="s">
        <v>59</v>
      </c>
      <c r="H1037" s="3" t="s">
        <v>58</v>
      </c>
      <c r="I1037" s="3" t="s">
        <v>58</v>
      </c>
      <c r="J1037" s="3" t="s">
        <v>60</v>
      </c>
      <c r="K1037" s="2" t="s">
        <v>13010</v>
      </c>
      <c r="L1037" s="2" t="s">
        <v>13011</v>
      </c>
      <c r="M1037" s="3" t="s">
        <v>845</v>
      </c>
      <c r="O1037" s="3" t="s">
        <v>65</v>
      </c>
      <c r="P1037" s="3" t="s">
        <v>695</v>
      </c>
      <c r="R1037" s="3" t="s">
        <v>68</v>
      </c>
      <c r="S1037" s="4">
        <v>2</v>
      </c>
      <c r="T1037" s="4">
        <v>2</v>
      </c>
      <c r="U1037" s="5" t="s">
        <v>13012</v>
      </c>
      <c r="V1037" s="5" t="s">
        <v>13012</v>
      </c>
      <c r="W1037" s="5" t="s">
        <v>12856</v>
      </c>
      <c r="X1037" s="5" t="s">
        <v>12856</v>
      </c>
      <c r="Y1037" s="4">
        <v>292</v>
      </c>
      <c r="Z1037" s="4">
        <v>270</v>
      </c>
      <c r="AA1037" s="4">
        <v>275</v>
      </c>
      <c r="AB1037" s="4">
        <v>3</v>
      </c>
      <c r="AC1037" s="4">
        <v>3</v>
      </c>
      <c r="AD1037" s="4">
        <v>7</v>
      </c>
      <c r="AE1037" s="4">
        <v>7</v>
      </c>
      <c r="AF1037" s="4">
        <v>2</v>
      </c>
      <c r="AG1037" s="4">
        <v>2</v>
      </c>
      <c r="AH1037" s="4">
        <v>1</v>
      </c>
      <c r="AI1037" s="4">
        <v>1</v>
      </c>
      <c r="AJ1037" s="4">
        <v>4</v>
      </c>
      <c r="AK1037" s="4">
        <v>4</v>
      </c>
      <c r="AL1037" s="4">
        <v>2</v>
      </c>
      <c r="AM1037" s="4">
        <v>2</v>
      </c>
      <c r="AN1037" s="4">
        <v>0</v>
      </c>
      <c r="AO1037" s="4">
        <v>0</v>
      </c>
      <c r="AP1037" s="3" t="s">
        <v>58</v>
      </c>
      <c r="AQ1037" s="3" t="s">
        <v>58</v>
      </c>
      <c r="AS1037" s="6" t="str">
        <f>HYPERLINK("https://creighton-primo.hosted.exlibrisgroup.com/primo-explore/search?tab=default_tab&amp;search_scope=EVERYTHING&amp;vid=01CRU&amp;lang=en_US&amp;offset=0&amp;query=any,contains,991002296829702656","Catalog Record")</f>
        <v>Catalog Record</v>
      </c>
      <c r="AT1037" s="6" t="str">
        <f>HYPERLINK("http://www.worldcat.org/oclc/316093","WorldCat Record")</f>
        <v>WorldCat Record</v>
      </c>
      <c r="AU1037" s="3" t="s">
        <v>13013</v>
      </c>
      <c r="AV1037" s="3" t="s">
        <v>13014</v>
      </c>
      <c r="AW1037" s="3" t="s">
        <v>13015</v>
      </c>
      <c r="AX1037" s="3" t="s">
        <v>13015</v>
      </c>
      <c r="AY1037" s="3" t="s">
        <v>13016</v>
      </c>
      <c r="AZ1037" s="3" t="s">
        <v>75</v>
      </c>
      <c r="BB1037" s="3" t="s">
        <v>13017</v>
      </c>
      <c r="BC1037" s="3" t="s">
        <v>13018</v>
      </c>
      <c r="BD1037" s="3" t="s">
        <v>13019</v>
      </c>
    </row>
    <row r="1038" spans="1:56" ht="39" customHeight="1" x14ac:dyDescent="0.25">
      <c r="A1038" s="7" t="s">
        <v>58</v>
      </c>
      <c r="B1038" s="2" t="s">
        <v>13020</v>
      </c>
      <c r="C1038" s="2" t="s">
        <v>13021</v>
      </c>
      <c r="D1038" s="2" t="s">
        <v>13022</v>
      </c>
      <c r="F1038" s="3" t="s">
        <v>58</v>
      </c>
      <c r="G1038" s="3" t="s">
        <v>59</v>
      </c>
      <c r="H1038" s="3" t="s">
        <v>58</v>
      </c>
      <c r="I1038" s="3" t="s">
        <v>58</v>
      </c>
      <c r="J1038" s="3" t="s">
        <v>60</v>
      </c>
      <c r="L1038" s="2" t="s">
        <v>13023</v>
      </c>
      <c r="M1038" s="3" t="s">
        <v>1302</v>
      </c>
      <c r="O1038" s="3" t="s">
        <v>65</v>
      </c>
      <c r="P1038" s="3" t="s">
        <v>245</v>
      </c>
      <c r="R1038" s="3" t="s">
        <v>68</v>
      </c>
      <c r="S1038" s="4">
        <v>3</v>
      </c>
      <c r="T1038" s="4">
        <v>3</v>
      </c>
      <c r="U1038" s="5" t="s">
        <v>3034</v>
      </c>
      <c r="V1038" s="5" t="s">
        <v>3034</v>
      </c>
      <c r="W1038" s="5" t="s">
        <v>13024</v>
      </c>
      <c r="X1038" s="5" t="s">
        <v>13024</v>
      </c>
      <c r="Y1038" s="4">
        <v>225</v>
      </c>
      <c r="Z1038" s="4">
        <v>165</v>
      </c>
      <c r="AA1038" s="4">
        <v>166</v>
      </c>
      <c r="AB1038" s="4">
        <v>1</v>
      </c>
      <c r="AC1038" s="4">
        <v>1</v>
      </c>
      <c r="AD1038" s="4">
        <v>15</v>
      </c>
      <c r="AE1038" s="4">
        <v>15</v>
      </c>
      <c r="AF1038" s="4">
        <v>6</v>
      </c>
      <c r="AG1038" s="4">
        <v>6</v>
      </c>
      <c r="AH1038" s="4">
        <v>5</v>
      </c>
      <c r="AI1038" s="4">
        <v>5</v>
      </c>
      <c r="AJ1038" s="4">
        <v>7</v>
      </c>
      <c r="AK1038" s="4">
        <v>7</v>
      </c>
      <c r="AL1038" s="4">
        <v>0</v>
      </c>
      <c r="AM1038" s="4">
        <v>0</v>
      </c>
      <c r="AN1038" s="4">
        <v>0</v>
      </c>
      <c r="AO1038" s="4">
        <v>0</v>
      </c>
      <c r="AP1038" s="3" t="s">
        <v>58</v>
      </c>
      <c r="AQ1038" s="3" t="s">
        <v>58</v>
      </c>
      <c r="AS1038" s="6" t="str">
        <f>HYPERLINK("https://creighton-primo.hosted.exlibrisgroup.com/primo-explore/search?tab=default_tab&amp;search_scope=EVERYTHING&amp;vid=01CRU&amp;lang=en_US&amp;offset=0&amp;query=any,contains,991004217569702656","Catalog Record")</f>
        <v>Catalog Record</v>
      </c>
      <c r="AT1038" s="6" t="str">
        <f>HYPERLINK("http://www.worldcat.org/oclc/50802620","WorldCat Record")</f>
        <v>WorldCat Record</v>
      </c>
      <c r="AU1038" s="3" t="s">
        <v>13025</v>
      </c>
      <c r="AV1038" s="3" t="s">
        <v>13026</v>
      </c>
      <c r="AW1038" s="3" t="s">
        <v>13027</v>
      </c>
      <c r="AX1038" s="3" t="s">
        <v>13027</v>
      </c>
      <c r="AY1038" s="3" t="s">
        <v>13028</v>
      </c>
      <c r="AZ1038" s="3" t="s">
        <v>75</v>
      </c>
      <c r="BB1038" s="3" t="s">
        <v>13029</v>
      </c>
      <c r="BC1038" s="3" t="s">
        <v>13030</v>
      </c>
      <c r="BD1038" s="3" t="s">
        <v>13031</v>
      </c>
    </row>
    <row r="1039" spans="1:56" ht="39" customHeight="1" x14ac:dyDescent="0.25">
      <c r="A1039" s="7" t="s">
        <v>58</v>
      </c>
      <c r="B1039" s="2" t="s">
        <v>13032</v>
      </c>
      <c r="C1039" s="2" t="s">
        <v>13033</v>
      </c>
      <c r="D1039" s="2" t="s">
        <v>13034</v>
      </c>
      <c r="F1039" s="3" t="s">
        <v>58</v>
      </c>
      <c r="G1039" s="3" t="s">
        <v>59</v>
      </c>
      <c r="H1039" s="3" t="s">
        <v>58</v>
      </c>
      <c r="I1039" s="3" t="s">
        <v>58</v>
      </c>
      <c r="J1039" s="3" t="s">
        <v>60</v>
      </c>
      <c r="K1039" s="2" t="s">
        <v>1736</v>
      </c>
      <c r="L1039" s="2" t="s">
        <v>13035</v>
      </c>
      <c r="M1039" s="3" t="s">
        <v>631</v>
      </c>
      <c r="O1039" s="3" t="s">
        <v>65</v>
      </c>
      <c r="P1039" s="3" t="s">
        <v>66</v>
      </c>
      <c r="R1039" s="3" t="s">
        <v>68</v>
      </c>
      <c r="S1039" s="4">
        <v>6</v>
      </c>
      <c r="T1039" s="4">
        <v>6</v>
      </c>
      <c r="U1039" s="5" t="s">
        <v>13036</v>
      </c>
      <c r="V1039" s="5" t="s">
        <v>13036</v>
      </c>
      <c r="W1039" s="5" t="s">
        <v>12856</v>
      </c>
      <c r="X1039" s="5" t="s">
        <v>12856</v>
      </c>
      <c r="Y1039" s="4">
        <v>95</v>
      </c>
      <c r="Z1039" s="4">
        <v>75</v>
      </c>
      <c r="AA1039" s="4">
        <v>94</v>
      </c>
      <c r="AB1039" s="4">
        <v>3</v>
      </c>
      <c r="AC1039" s="4">
        <v>3</v>
      </c>
      <c r="AD1039" s="4">
        <v>7</v>
      </c>
      <c r="AE1039" s="4">
        <v>7</v>
      </c>
      <c r="AF1039" s="4">
        <v>0</v>
      </c>
      <c r="AG1039" s="4">
        <v>0</v>
      </c>
      <c r="AH1039" s="4">
        <v>2</v>
      </c>
      <c r="AI1039" s="4">
        <v>2</v>
      </c>
      <c r="AJ1039" s="4">
        <v>5</v>
      </c>
      <c r="AK1039" s="4">
        <v>5</v>
      </c>
      <c r="AL1039" s="4">
        <v>1</v>
      </c>
      <c r="AM1039" s="4">
        <v>1</v>
      </c>
      <c r="AN1039" s="4">
        <v>0</v>
      </c>
      <c r="AO1039" s="4">
        <v>0</v>
      </c>
      <c r="AP1039" s="3" t="s">
        <v>58</v>
      </c>
      <c r="AQ1039" s="3" t="s">
        <v>132</v>
      </c>
      <c r="AR1039" s="6" t="str">
        <f>HYPERLINK("http://catalog.hathitrust.org/Record/006018565","HathiTrust Record")</f>
        <v>HathiTrust Record</v>
      </c>
      <c r="AS1039" s="6" t="str">
        <f>HYPERLINK("https://creighton-primo.hosted.exlibrisgroup.com/primo-explore/search?tab=default_tab&amp;search_scope=EVERYTHING&amp;vid=01CRU&amp;lang=en_US&amp;offset=0&amp;query=any,contains,991004276499702656","Catalog Record")</f>
        <v>Catalog Record</v>
      </c>
      <c r="AT1039" s="6" t="str">
        <f>HYPERLINK("http://www.worldcat.org/oclc/2894825","WorldCat Record")</f>
        <v>WorldCat Record</v>
      </c>
      <c r="AU1039" s="3" t="s">
        <v>13037</v>
      </c>
      <c r="AV1039" s="3" t="s">
        <v>13038</v>
      </c>
      <c r="AW1039" s="3" t="s">
        <v>13039</v>
      </c>
      <c r="AX1039" s="3" t="s">
        <v>13039</v>
      </c>
      <c r="AY1039" s="3" t="s">
        <v>13040</v>
      </c>
      <c r="AZ1039" s="3" t="s">
        <v>75</v>
      </c>
      <c r="BC1039" s="3" t="s">
        <v>13041</v>
      </c>
      <c r="BD1039" s="3" t="s">
        <v>13042</v>
      </c>
    </row>
    <row r="1040" spans="1:56" ht="39" customHeight="1" x14ac:dyDescent="0.25">
      <c r="A1040" s="7" t="s">
        <v>58</v>
      </c>
      <c r="B1040" s="2" t="s">
        <v>13043</v>
      </c>
      <c r="C1040" s="2" t="s">
        <v>13044</v>
      </c>
      <c r="D1040" s="2" t="s">
        <v>13045</v>
      </c>
      <c r="F1040" s="3" t="s">
        <v>58</v>
      </c>
      <c r="G1040" s="3" t="s">
        <v>59</v>
      </c>
      <c r="H1040" s="3" t="s">
        <v>58</v>
      </c>
      <c r="I1040" s="3" t="s">
        <v>58</v>
      </c>
      <c r="J1040" s="3" t="s">
        <v>60</v>
      </c>
      <c r="K1040" s="2" t="s">
        <v>13046</v>
      </c>
      <c r="L1040" s="2" t="s">
        <v>13047</v>
      </c>
      <c r="M1040" s="3" t="s">
        <v>11915</v>
      </c>
      <c r="O1040" s="3" t="s">
        <v>65</v>
      </c>
      <c r="P1040" s="3" t="s">
        <v>492</v>
      </c>
      <c r="Q1040" s="2" t="s">
        <v>13048</v>
      </c>
      <c r="R1040" s="3" t="s">
        <v>68</v>
      </c>
      <c r="S1040" s="4">
        <v>1</v>
      </c>
      <c r="T1040" s="4">
        <v>1</v>
      </c>
      <c r="U1040" s="5" t="s">
        <v>13049</v>
      </c>
      <c r="V1040" s="5" t="s">
        <v>13049</v>
      </c>
      <c r="W1040" s="5" t="s">
        <v>12856</v>
      </c>
      <c r="X1040" s="5" t="s">
        <v>12856</v>
      </c>
      <c r="Y1040" s="4">
        <v>258</v>
      </c>
      <c r="Z1040" s="4">
        <v>196</v>
      </c>
      <c r="AA1040" s="4">
        <v>358</v>
      </c>
      <c r="AB1040" s="4">
        <v>1</v>
      </c>
      <c r="AC1040" s="4">
        <v>4</v>
      </c>
      <c r="AD1040" s="4">
        <v>13</v>
      </c>
      <c r="AE1040" s="4">
        <v>23</v>
      </c>
      <c r="AF1040" s="4">
        <v>4</v>
      </c>
      <c r="AG1040" s="4">
        <v>8</v>
      </c>
      <c r="AH1040" s="4">
        <v>3</v>
      </c>
      <c r="AI1040" s="4">
        <v>4</v>
      </c>
      <c r="AJ1040" s="4">
        <v>8</v>
      </c>
      <c r="AK1040" s="4">
        <v>9</v>
      </c>
      <c r="AL1040" s="4">
        <v>0</v>
      </c>
      <c r="AM1040" s="4">
        <v>3</v>
      </c>
      <c r="AN1040" s="4">
        <v>0</v>
      </c>
      <c r="AO1040" s="4">
        <v>2</v>
      </c>
      <c r="AP1040" s="3" t="s">
        <v>132</v>
      </c>
      <c r="AQ1040" s="3" t="s">
        <v>58</v>
      </c>
      <c r="AR1040" s="6" t="str">
        <f>HYPERLINK("http://catalog.hathitrust.org/Record/001932586","HathiTrust Record")</f>
        <v>HathiTrust Record</v>
      </c>
      <c r="AS1040" s="6" t="str">
        <f>HYPERLINK("https://creighton-primo.hosted.exlibrisgroup.com/primo-explore/search?tab=default_tab&amp;search_scope=EVERYTHING&amp;vid=01CRU&amp;lang=en_US&amp;offset=0&amp;query=any,contains,991004118179702656","Catalog Record")</f>
        <v>Catalog Record</v>
      </c>
      <c r="AT1040" s="6" t="str">
        <f>HYPERLINK("http://www.worldcat.org/oclc/2422335","WorldCat Record")</f>
        <v>WorldCat Record</v>
      </c>
      <c r="AU1040" s="3" t="s">
        <v>13050</v>
      </c>
      <c r="AV1040" s="3" t="s">
        <v>13051</v>
      </c>
      <c r="AW1040" s="3" t="s">
        <v>13052</v>
      </c>
      <c r="AX1040" s="3" t="s">
        <v>13052</v>
      </c>
      <c r="AY1040" s="3" t="s">
        <v>13053</v>
      </c>
      <c r="AZ1040" s="3" t="s">
        <v>75</v>
      </c>
      <c r="BC1040" s="3" t="s">
        <v>13054</v>
      </c>
      <c r="BD1040" s="3" t="s">
        <v>13055</v>
      </c>
    </row>
    <row r="1041" spans="1:56" ht="39" customHeight="1" x14ac:dyDescent="0.25">
      <c r="A1041" s="7" t="s">
        <v>58</v>
      </c>
      <c r="B1041" s="2" t="s">
        <v>13056</v>
      </c>
      <c r="C1041" s="2" t="s">
        <v>13057</v>
      </c>
      <c r="D1041" s="2" t="s">
        <v>13058</v>
      </c>
      <c r="F1041" s="3" t="s">
        <v>58</v>
      </c>
      <c r="G1041" s="3" t="s">
        <v>59</v>
      </c>
      <c r="H1041" s="3" t="s">
        <v>58</v>
      </c>
      <c r="I1041" s="3" t="s">
        <v>58</v>
      </c>
      <c r="J1041" s="3" t="s">
        <v>60</v>
      </c>
      <c r="K1041" s="2" t="s">
        <v>13059</v>
      </c>
      <c r="L1041" s="2" t="s">
        <v>13060</v>
      </c>
      <c r="M1041" s="3" t="s">
        <v>439</v>
      </c>
      <c r="N1041" s="2" t="s">
        <v>9334</v>
      </c>
      <c r="O1041" s="3" t="s">
        <v>65</v>
      </c>
      <c r="P1041" s="3" t="s">
        <v>84</v>
      </c>
      <c r="R1041" s="3" t="s">
        <v>68</v>
      </c>
      <c r="S1041" s="4">
        <v>7</v>
      </c>
      <c r="T1041" s="4">
        <v>7</v>
      </c>
      <c r="U1041" s="5" t="s">
        <v>13061</v>
      </c>
      <c r="V1041" s="5" t="s">
        <v>13061</v>
      </c>
      <c r="W1041" s="5" t="s">
        <v>12856</v>
      </c>
      <c r="X1041" s="5" t="s">
        <v>12856</v>
      </c>
      <c r="Y1041" s="4">
        <v>389</v>
      </c>
      <c r="Z1041" s="4">
        <v>329</v>
      </c>
      <c r="AA1041" s="4">
        <v>332</v>
      </c>
      <c r="AB1041" s="4">
        <v>6</v>
      </c>
      <c r="AC1041" s="4">
        <v>6</v>
      </c>
      <c r="AD1041" s="4">
        <v>33</v>
      </c>
      <c r="AE1041" s="4">
        <v>33</v>
      </c>
      <c r="AF1041" s="4">
        <v>13</v>
      </c>
      <c r="AG1041" s="4">
        <v>13</v>
      </c>
      <c r="AH1041" s="4">
        <v>5</v>
      </c>
      <c r="AI1041" s="4">
        <v>5</v>
      </c>
      <c r="AJ1041" s="4">
        <v>21</v>
      </c>
      <c r="AK1041" s="4">
        <v>21</v>
      </c>
      <c r="AL1041" s="4">
        <v>5</v>
      </c>
      <c r="AM1041" s="4">
        <v>5</v>
      </c>
      <c r="AN1041" s="4">
        <v>0</v>
      </c>
      <c r="AO1041" s="4">
        <v>0</v>
      </c>
      <c r="AP1041" s="3" t="s">
        <v>58</v>
      </c>
      <c r="AQ1041" s="3" t="s">
        <v>58</v>
      </c>
      <c r="AS1041" s="6" t="str">
        <f>HYPERLINK("https://creighton-primo.hosted.exlibrisgroup.com/primo-explore/search?tab=default_tab&amp;search_scope=EVERYTHING&amp;vid=01CRU&amp;lang=en_US&amp;offset=0&amp;query=any,contains,991004894819702656","Catalog Record")</f>
        <v>Catalog Record</v>
      </c>
      <c r="AT1041" s="6" t="str">
        <f>HYPERLINK("http://www.worldcat.org/oclc/5892503","WorldCat Record")</f>
        <v>WorldCat Record</v>
      </c>
      <c r="AU1041" s="3" t="s">
        <v>13062</v>
      </c>
      <c r="AV1041" s="3" t="s">
        <v>13063</v>
      </c>
      <c r="AW1041" s="3" t="s">
        <v>13064</v>
      </c>
      <c r="AX1041" s="3" t="s">
        <v>13064</v>
      </c>
      <c r="AY1041" s="3" t="s">
        <v>13065</v>
      </c>
      <c r="AZ1041" s="3" t="s">
        <v>75</v>
      </c>
      <c r="BB1041" s="3" t="s">
        <v>13066</v>
      </c>
      <c r="BC1041" s="3" t="s">
        <v>13067</v>
      </c>
      <c r="BD1041" s="3" t="s">
        <v>13068</v>
      </c>
    </row>
    <row r="1042" spans="1:56" ht="39" customHeight="1" x14ac:dyDescent="0.25">
      <c r="A1042" s="7" t="s">
        <v>58</v>
      </c>
      <c r="B1042" s="2" t="s">
        <v>13069</v>
      </c>
      <c r="C1042" s="2" t="s">
        <v>13070</v>
      </c>
      <c r="D1042" s="2" t="s">
        <v>13071</v>
      </c>
      <c r="F1042" s="3" t="s">
        <v>58</v>
      </c>
      <c r="G1042" s="3" t="s">
        <v>59</v>
      </c>
      <c r="H1042" s="3" t="s">
        <v>58</v>
      </c>
      <c r="I1042" s="3" t="s">
        <v>58</v>
      </c>
      <c r="J1042" s="3" t="s">
        <v>60</v>
      </c>
      <c r="K1042" s="2" t="s">
        <v>13072</v>
      </c>
      <c r="L1042" s="2" t="s">
        <v>13073</v>
      </c>
      <c r="M1042" s="3" t="s">
        <v>670</v>
      </c>
      <c r="O1042" s="3" t="s">
        <v>65</v>
      </c>
      <c r="P1042" s="3" t="s">
        <v>186</v>
      </c>
      <c r="R1042" s="3" t="s">
        <v>68</v>
      </c>
      <c r="S1042" s="4">
        <v>3</v>
      </c>
      <c r="T1042" s="4">
        <v>3</v>
      </c>
      <c r="U1042" s="5" t="s">
        <v>3843</v>
      </c>
      <c r="V1042" s="5" t="s">
        <v>3843</v>
      </c>
      <c r="W1042" s="5" t="s">
        <v>6231</v>
      </c>
      <c r="X1042" s="5" t="s">
        <v>6231</v>
      </c>
      <c r="Y1042" s="4">
        <v>229</v>
      </c>
      <c r="Z1042" s="4">
        <v>191</v>
      </c>
      <c r="AA1042" s="4">
        <v>200</v>
      </c>
      <c r="AB1042" s="4">
        <v>2</v>
      </c>
      <c r="AC1042" s="4">
        <v>2</v>
      </c>
      <c r="AD1042" s="4">
        <v>29</v>
      </c>
      <c r="AE1042" s="4">
        <v>29</v>
      </c>
      <c r="AF1042" s="4">
        <v>9</v>
      </c>
      <c r="AG1042" s="4">
        <v>9</v>
      </c>
      <c r="AH1042" s="4">
        <v>8</v>
      </c>
      <c r="AI1042" s="4">
        <v>8</v>
      </c>
      <c r="AJ1042" s="4">
        <v>20</v>
      </c>
      <c r="AK1042" s="4">
        <v>20</v>
      </c>
      <c r="AL1042" s="4">
        <v>0</v>
      </c>
      <c r="AM1042" s="4">
        <v>0</v>
      </c>
      <c r="AN1042" s="4">
        <v>0</v>
      </c>
      <c r="AO1042" s="4">
        <v>0</v>
      </c>
      <c r="AP1042" s="3" t="s">
        <v>58</v>
      </c>
      <c r="AQ1042" s="3" t="s">
        <v>58</v>
      </c>
      <c r="AS1042" s="6" t="str">
        <f>HYPERLINK("https://creighton-primo.hosted.exlibrisgroup.com/primo-explore/search?tab=default_tab&amp;search_scope=EVERYTHING&amp;vid=01CRU&amp;lang=en_US&amp;offset=0&amp;query=any,contains,991000390229702656","Catalog Record")</f>
        <v>Catalog Record</v>
      </c>
      <c r="AT1042" s="6" t="str">
        <f>HYPERLINK("http://www.worldcat.org/oclc/72777","WorldCat Record")</f>
        <v>WorldCat Record</v>
      </c>
      <c r="AU1042" s="3" t="s">
        <v>13074</v>
      </c>
      <c r="AV1042" s="3" t="s">
        <v>13075</v>
      </c>
      <c r="AW1042" s="3" t="s">
        <v>13076</v>
      </c>
      <c r="AX1042" s="3" t="s">
        <v>13076</v>
      </c>
      <c r="AY1042" s="3" t="s">
        <v>13077</v>
      </c>
      <c r="AZ1042" s="3" t="s">
        <v>75</v>
      </c>
      <c r="BB1042" s="3" t="s">
        <v>13078</v>
      </c>
      <c r="BC1042" s="3" t="s">
        <v>13079</v>
      </c>
      <c r="BD1042" s="3" t="s">
        <v>13080</v>
      </c>
    </row>
    <row r="1043" spans="1:56" ht="39" customHeight="1" x14ac:dyDescent="0.25">
      <c r="A1043" s="7" t="s">
        <v>58</v>
      </c>
      <c r="B1043" s="2" t="s">
        <v>13081</v>
      </c>
      <c r="C1043" s="2" t="s">
        <v>13082</v>
      </c>
      <c r="D1043" s="2" t="s">
        <v>13083</v>
      </c>
      <c r="E1043" s="3" t="s">
        <v>1928</v>
      </c>
      <c r="F1043" s="3" t="s">
        <v>132</v>
      </c>
      <c r="G1043" s="3" t="s">
        <v>59</v>
      </c>
      <c r="H1043" s="3" t="s">
        <v>58</v>
      </c>
      <c r="I1043" s="3" t="s">
        <v>58</v>
      </c>
      <c r="J1043" s="3" t="s">
        <v>60</v>
      </c>
      <c r="K1043" s="2" t="s">
        <v>13084</v>
      </c>
      <c r="L1043" s="2" t="s">
        <v>13085</v>
      </c>
      <c r="M1043" s="3" t="s">
        <v>98</v>
      </c>
      <c r="O1043" s="3" t="s">
        <v>65</v>
      </c>
      <c r="P1043" s="3" t="s">
        <v>66</v>
      </c>
      <c r="Q1043" s="2" t="s">
        <v>13086</v>
      </c>
      <c r="R1043" s="3" t="s">
        <v>68</v>
      </c>
      <c r="S1043" s="4">
        <v>7</v>
      </c>
      <c r="T1043" s="4">
        <v>14</v>
      </c>
      <c r="U1043" s="5" t="s">
        <v>13087</v>
      </c>
      <c r="V1043" s="5" t="s">
        <v>13087</v>
      </c>
      <c r="W1043" s="5" t="s">
        <v>13088</v>
      </c>
      <c r="X1043" s="5" t="s">
        <v>13088</v>
      </c>
      <c r="Y1043" s="4">
        <v>107</v>
      </c>
      <c r="Z1043" s="4">
        <v>86</v>
      </c>
      <c r="AA1043" s="4">
        <v>692</v>
      </c>
      <c r="AB1043" s="4">
        <v>1</v>
      </c>
      <c r="AC1043" s="4">
        <v>8</v>
      </c>
      <c r="AD1043" s="4">
        <v>3</v>
      </c>
      <c r="AE1043" s="4">
        <v>37</v>
      </c>
      <c r="AF1043" s="4">
        <v>1</v>
      </c>
      <c r="AG1043" s="4">
        <v>13</v>
      </c>
      <c r="AH1043" s="4">
        <v>0</v>
      </c>
      <c r="AI1043" s="4">
        <v>7</v>
      </c>
      <c r="AJ1043" s="4">
        <v>2</v>
      </c>
      <c r="AK1043" s="4">
        <v>16</v>
      </c>
      <c r="AL1043" s="4">
        <v>0</v>
      </c>
      <c r="AM1043" s="4">
        <v>6</v>
      </c>
      <c r="AN1043" s="4">
        <v>0</v>
      </c>
      <c r="AO1043" s="4">
        <v>3</v>
      </c>
      <c r="AP1043" s="3" t="s">
        <v>58</v>
      </c>
      <c r="AQ1043" s="3" t="s">
        <v>132</v>
      </c>
      <c r="AR1043" s="6" t="str">
        <f>HYPERLINK("http://catalog.hathitrust.org/Record/011440222","HathiTrust Record")</f>
        <v>HathiTrust Record</v>
      </c>
      <c r="AS1043" s="6" t="str">
        <f>HYPERLINK("https://creighton-primo.hosted.exlibrisgroup.com/primo-explore/search?tab=default_tab&amp;search_scope=EVERYTHING&amp;vid=01CRU&amp;lang=en_US&amp;offset=0&amp;query=any,contains,991004922089702656","Catalog Record")</f>
        <v>Catalog Record</v>
      </c>
      <c r="AT1043" s="6" t="str">
        <f>HYPERLINK("http://www.worldcat.org/oclc/6053614","WorldCat Record")</f>
        <v>WorldCat Record</v>
      </c>
      <c r="AU1043" s="3" t="s">
        <v>13089</v>
      </c>
      <c r="AV1043" s="3" t="s">
        <v>13090</v>
      </c>
      <c r="AW1043" s="3" t="s">
        <v>13091</v>
      </c>
      <c r="AX1043" s="3" t="s">
        <v>13091</v>
      </c>
      <c r="AY1043" s="3" t="s">
        <v>13092</v>
      </c>
      <c r="AZ1043" s="3" t="s">
        <v>75</v>
      </c>
      <c r="BC1043" s="3" t="s">
        <v>13093</v>
      </c>
      <c r="BD1043" s="3" t="s">
        <v>13094</v>
      </c>
    </row>
    <row r="1044" spans="1:56" ht="39" customHeight="1" x14ac:dyDescent="0.25">
      <c r="A1044" s="7" t="s">
        <v>58</v>
      </c>
      <c r="B1044" s="2" t="s">
        <v>13081</v>
      </c>
      <c r="C1044" s="2" t="s">
        <v>13082</v>
      </c>
      <c r="D1044" s="2" t="s">
        <v>13083</v>
      </c>
      <c r="E1044" s="3" t="s">
        <v>1913</v>
      </c>
      <c r="F1044" s="3" t="s">
        <v>132</v>
      </c>
      <c r="G1044" s="3" t="s">
        <v>59</v>
      </c>
      <c r="H1044" s="3" t="s">
        <v>58</v>
      </c>
      <c r="I1044" s="3" t="s">
        <v>58</v>
      </c>
      <c r="J1044" s="3" t="s">
        <v>60</v>
      </c>
      <c r="K1044" s="2" t="s">
        <v>13084</v>
      </c>
      <c r="L1044" s="2" t="s">
        <v>13085</v>
      </c>
      <c r="M1044" s="3" t="s">
        <v>98</v>
      </c>
      <c r="O1044" s="3" t="s">
        <v>65</v>
      </c>
      <c r="P1044" s="3" t="s">
        <v>66</v>
      </c>
      <c r="Q1044" s="2" t="s">
        <v>13086</v>
      </c>
      <c r="R1044" s="3" t="s">
        <v>68</v>
      </c>
      <c r="S1044" s="4">
        <v>7</v>
      </c>
      <c r="T1044" s="4">
        <v>14</v>
      </c>
      <c r="U1044" s="5" t="s">
        <v>13087</v>
      </c>
      <c r="V1044" s="5" t="s">
        <v>13087</v>
      </c>
      <c r="W1044" s="5" t="s">
        <v>13088</v>
      </c>
      <c r="X1044" s="5" t="s">
        <v>13088</v>
      </c>
      <c r="Y1044" s="4">
        <v>107</v>
      </c>
      <c r="Z1044" s="4">
        <v>86</v>
      </c>
      <c r="AA1044" s="4">
        <v>692</v>
      </c>
      <c r="AB1044" s="4">
        <v>1</v>
      </c>
      <c r="AC1044" s="4">
        <v>8</v>
      </c>
      <c r="AD1044" s="4">
        <v>3</v>
      </c>
      <c r="AE1044" s="4">
        <v>37</v>
      </c>
      <c r="AF1044" s="4">
        <v>1</v>
      </c>
      <c r="AG1044" s="4">
        <v>13</v>
      </c>
      <c r="AH1044" s="4">
        <v>0</v>
      </c>
      <c r="AI1044" s="4">
        <v>7</v>
      </c>
      <c r="AJ1044" s="4">
        <v>2</v>
      </c>
      <c r="AK1044" s="4">
        <v>16</v>
      </c>
      <c r="AL1044" s="4">
        <v>0</v>
      </c>
      <c r="AM1044" s="4">
        <v>6</v>
      </c>
      <c r="AN1044" s="4">
        <v>0</v>
      </c>
      <c r="AO1044" s="4">
        <v>3</v>
      </c>
      <c r="AP1044" s="3" t="s">
        <v>58</v>
      </c>
      <c r="AQ1044" s="3" t="s">
        <v>132</v>
      </c>
      <c r="AR1044" s="6" t="str">
        <f>HYPERLINK("http://catalog.hathitrust.org/Record/011440222","HathiTrust Record")</f>
        <v>HathiTrust Record</v>
      </c>
      <c r="AS1044" s="6" t="str">
        <f>HYPERLINK("https://creighton-primo.hosted.exlibrisgroup.com/primo-explore/search?tab=default_tab&amp;search_scope=EVERYTHING&amp;vid=01CRU&amp;lang=en_US&amp;offset=0&amp;query=any,contains,991004922089702656","Catalog Record")</f>
        <v>Catalog Record</v>
      </c>
      <c r="AT1044" s="6" t="str">
        <f>HYPERLINK("http://www.worldcat.org/oclc/6053614","WorldCat Record")</f>
        <v>WorldCat Record</v>
      </c>
      <c r="AU1044" s="3" t="s">
        <v>13089</v>
      </c>
      <c r="AV1044" s="3" t="s">
        <v>13090</v>
      </c>
      <c r="AW1044" s="3" t="s">
        <v>13091</v>
      </c>
      <c r="AX1044" s="3" t="s">
        <v>13091</v>
      </c>
      <c r="AY1044" s="3" t="s">
        <v>13092</v>
      </c>
      <c r="AZ1044" s="3" t="s">
        <v>75</v>
      </c>
      <c r="BC1044" s="3" t="s">
        <v>13095</v>
      </c>
      <c r="BD1044" s="3" t="s">
        <v>13096</v>
      </c>
    </row>
    <row r="1045" spans="1:56" ht="39" customHeight="1" x14ac:dyDescent="0.25">
      <c r="A1045" s="7" t="s">
        <v>58</v>
      </c>
      <c r="B1045" s="2" t="s">
        <v>13097</v>
      </c>
      <c r="C1045" s="2" t="s">
        <v>13098</v>
      </c>
      <c r="D1045" s="2" t="s">
        <v>13099</v>
      </c>
      <c r="F1045" s="3" t="s">
        <v>58</v>
      </c>
      <c r="G1045" s="3" t="s">
        <v>59</v>
      </c>
      <c r="H1045" s="3" t="s">
        <v>58</v>
      </c>
      <c r="I1045" s="3" t="s">
        <v>58</v>
      </c>
      <c r="J1045" s="3" t="s">
        <v>60</v>
      </c>
      <c r="K1045" s="2" t="s">
        <v>13084</v>
      </c>
      <c r="L1045" s="2" t="s">
        <v>13100</v>
      </c>
      <c r="M1045" s="3" t="s">
        <v>229</v>
      </c>
      <c r="O1045" s="3" t="s">
        <v>65</v>
      </c>
      <c r="P1045" s="3" t="s">
        <v>66</v>
      </c>
      <c r="Q1045" s="2" t="s">
        <v>12685</v>
      </c>
      <c r="R1045" s="3" t="s">
        <v>68</v>
      </c>
      <c r="S1045" s="4">
        <v>3</v>
      </c>
      <c r="T1045" s="4">
        <v>3</v>
      </c>
      <c r="U1045" s="5" t="s">
        <v>13101</v>
      </c>
      <c r="V1045" s="5" t="s">
        <v>13101</v>
      </c>
      <c r="W1045" s="5" t="s">
        <v>13102</v>
      </c>
      <c r="X1045" s="5" t="s">
        <v>13102</v>
      </c>
      <c r="Y1045" s="4">
        <v>451</v>
      </c>
      <c r="Z1045" s="4">
        <v>311</v>
      </c>
      <c r="AA1045" s="4">
        <v>376</v>
      </c>
      <c r="AB1045" s="4">
        <v>2</v>
      </c>
      <c r="AC1045" s="4">
        <v>2</v>
      </c>
      <c r="AD1045" s="4">
        <v>17</v>
      </c>
      <c r="AE1045" s="4">
        <v>21</v>
      </c>
      <c r="AF1045" s="4">
        <v>5</v>
      </c>
      <c r="AG1045" s="4">
        <v>8</v>
      </c>
      <c r="AH1045" s="4">
        <v>3</v>
      </c>
      <c r="AI1045" s="4">
        <v>4</v>
      </c>
      <c r="AJ1045" s="4">
        <v>7</v>
      </c>
      <c r="AK1045" s="4">
        <v>10</v>
      </c>
      <c r="AL1045" s="4">
        <v>1</v>
      </c>
      <c r="AM1045" s="4">
        <v>1</v>
      </c>
      <c r="AN1045" s="4">
        <v>3</v>
      </c>
      <c r="AO1045" s="4">
        <v>3</v>
      </c>
      <c r="AP1045" s="3" t="s">
        <v>58</v>
      </c>
      <c r="AQ1045" s="3" t="s">
        <v>58</v>
      </c>
      <c r="AS1045" s="6" t="str">
        <f>HYPERLINK("https://creighton-primo.hosted.exlibrisgroup.com/primo-explore/search?tab=default_tab&amp;search_scope=EVERYTHING&amp;vid=01CRU&amp;lang=en_US&amp;offset=0&amp;query=any,contains,991001387319702656","Catalog Record")</f>
        <v>Catalog Record</v>
      </c>
      <c r="AT1045" s="6" t="str">
        <f>HYPERLINK("http://www.worldcat.org/oclc/18739233","WorldCat Record")</f>
        <v>WorldCat Record</v>
      </c>
      <c r="AU1045" s="3" t="s">
        <v>13103</v>
      </c>
      <c r="AV1045" s="3" t="s">
        <v>13104</v>
      </c>
      <c r="AW1045" s="3" t="s">
        <v>13105</v>
      </c>
      <c r="AX1045" s="3" t="s">
        <v>13105</v>
      </c>
      <c r="AY1045" s="3" t="s">
        <v>13106</v>
      </c>
      <c r="AZ1045" s="3" t="s">
        <v>75</v>
      </c>
      <c r="BB1045" s="3" t="s">
        <v>13107</v>
      </c>
      <c r="BC1045" s="3" t="s">
        <v>13108</v>
      </c>
      <c r="BD1045" s="3" t="s">
        <v>13109</v>
      </c>
    </row>
    <row r="1046" spans="1:56" ht="39" customHeight="1" x14ac:dyDescent="0.25">
      <c r="A1046" s="7" t="s">
        <v>58</v>
      </c>
      <c r="B1046" s="2" t="s">
        <v>13110</v>
      </c>
      <c r="C1046" s="2" t="s">
        <v>13111</v>
      </c>
      <c r="D1046" s="2" t="s">
        <v>13112</v>
      </c>
      <c r="F1046" s="3" t="s">
        <v>58</v>
      </c>
      <c r="G1046" s="3" t="s">
        <v>59</v>
      </c>
      <c r="H1046" s="3" t="s">
        <v>58</v>
      </c>
      <c r="I1046" s="3" t="s">
        <v>58</v>
      </c>
      <c r="J1046" s="3" t="s">
        <v>60</v>
      </c>
      <c r="K1046" s="2" t="s">
        <v>13113</v>
      </c>
      <c r="L1046" s="2" t="s">
        <v>13114</v>
      </c>
      <c r="M1046" s="3" t="s">
        <v>6893</v>
      </c>
      <c r="O1046" s="3" t="s">
        <v>65</v>
      </c>
      <c r="P1046" s="3" t="s">
        <v>954</v>
      </c>
      <c r="R1046" s="3" t="s">
        <v>68</v>
      </c>
      <c r="S1046" s="4">
        <v>1</v>
      </c>
      <c r="T1046" s="4">
        <v>1</v>
      </c>
      <c r="U1046" s="5" t="s">
        <v>13101</v>
      </c>
      <c r="V1046" s="5" t="s">
        <v>13101</v>
      </c>
      <c r="W1046" s="5" t="s">
        <v>12856</v>
      </c>
      <c r="X1046" s="5" t="s">
        <v>12856</v>
      </c>
      <c r="Y1046" s="4">
        <v>142</v>
      </c>
      <c r="Z1046" s="4">
        <v>140</v>
      </c>
      <c r="AA1046" s="4">
        <v>144</v>
      </c>
      <c r="AB1046" s="4">
        <v>1</v>
      </c>
      <c r="AC1046" s="4">
        <v>1</v>
      </c>
      <c r="AD1046" s="4">
        <v>27</v>
      </c>
      <c r="AE1046" s="4">
        <v>27</v>
      </c>
      <c r="AF1046" s="4">
        <v>8</v>
      </c>
      <c r="AG1046" s="4">
        <v>8</v>
      </c>
      <c r="AH1046" s="4">
        <v>9</v>
      </c>
      <c r="AI1046" s="4">
        <v>9</v>
      </c>
      <c r="AJ1046" s="4">
        <v>20</v>
      </c>
      <c r="AK1046" s="4">
        <v>20</v>
      </c>
      <c r="AL1046" s="4">
        <v>0</v>
      </c>
      <c r="AM1046" s="4">
        <v>0</v>
      </c>
      <c r="AN1046" s="4">
        <v>0</v>
      </c>
      <c r="AO1046" s="4">
        <v>0</v>
      </c>
      <c r="AP1046" s="3" t="s">
        <v>58</v>
      </c>
      <c r="AQ1046" s="3" t="s">
        <v>58</v>
      </c>
      <c r="AR1046" s="6" t="str">
        <f>HYPERLINK("http://catalog.hathitrust.org/Record/001413402","HathiTrust Record")</f>
        <v>HathiTrust Record</v>
      </c>
      <c r="AS1046" s="6" t="str">
        <f>HYPERLINK("https://creighton-primo.hosted.exlibrisgroup.com/primo-explore/search?tab=default_tab&amp;search_scope=EVERYTHING&amp;vid=01CRU&amp;lang=en_US&amp;offset=0&amp;query=any,contains,991003736779702656","Catalog Record")</f>
        <v>Catalog Record</v>
      </c>
      <c r="AT1046" s="6" t="str">
        <f>HYPERLINK("http://www.worldcat.org/oclc/1393955","WorldCat Record")</f>
        <v>WorldCat Record</v>
      </c>
      <c r="AU1046" s="3" t="s">
        <v>13115</v>
      </c>
      <c r="AV1046" s="3" t="s">
        <v>13116</v>
      </c>
      <c r="AW1046" s="3" t="s">
        <v>13117</v>
      </c>
      <c r="AX1046" s="3" t="s">
        <v>13117</v>
      </c>
      <c r="AY1046" s="3" t="s">
        <v>13118</v>
      </c>
      <c r="AZ1046" s="3" t="s">
        <v>75</v>
      </c>
      <c r="BC1046" s="3" t="s">
        <v>13119</v>
      </c>
      <c r="BD1046" s="3" t="s">
        <v>13120</v>
      </c>
    </row>
    <row r="1047" spans="1:56" ht="39" customHeight="1" x14ac:dyDescent="0.25">
      <c r="A1047" s="7" t="s">
        <v>58</v>
      </c>
      <c r="B1047" s="2" t="s">
        <v>13121</v>
      </c>
      <c r="C1047" s="2" t="s">
        <v>13122</v>
      </c>
      <c r="D1047" s="2" t="s">
        <v>13123</v>
      </c>
      <c r="F1047" s="3" t="s">
        <v>58</v>
      </c>
      <c r="G1047" s="3" t="s">
        <v>59</v>
      </c>
      <c r="H1047" s="3" t="s">
        <v>58</v>
      </c>
      <c r="I1047" s="3" t="s">
        <v>58</v>
      </c>
      <c r="J1047" s="3" t="s">
        <v>60</v>
      </c>
      <c r="K1047" s="2" t="s">
        <v>13124</v>
      </c>
      <c r="L1047" s="2" t="s">
        <v>13125</v>
      </c>
      <c r="M1047" s="3" t="s">
        <v>1289</v>
      </c>
      <c r="O1047" s="3" t="s">
        <v>65</v>
      </c>
      <c r="P1047" s="3" t="s">
        <v>1358</v>
      </c>
      <c r="R1047" s="3" t="s">
        <v>68</v>
      </c>
      <c r="S1047" s="4">
        <v>1</v>
      </c>
      <c r="T1047" s="4">
        <v>1</v>
      </c>
      <c r="U1047" s="5" t="s">
        <v>13126</v>
      </c>
      <c r="V1047" s="5" t="s">
        <v>13126</v>
      </c>
      <c r="W1047" s="5" t="s">
        <v>7916</v>
      </c>
      <c r="X1047" s="5" t="s">
        <v>7916</v>
      </c>
      <c r="Y1047" s="4">
        <v>159</v>
      </c>
      <c r="Z1047" s="4">
        <v>138</v>
      </c>
      <c r="AA1047" s="4">
        <v>162</v>
      </c>
      <c r="AB1047" s="4">
        <v>1</v>
      </c>
      <c r="AC1047" s="4">
        <v>1</v>
      </c>
      <c r="AD1047" s="4">
        <v>5</v>
      </c>
      <c r="AE1047" s="4">
        <v>7</v>
      </c>
      <c r="AF1047" s="4">
        <v>2</v>
      </c>
      <c r="AG1047" s="4">
        <v>4</v>
      </c>
      <c r="AH1047" s="4">
        <v>0</v>
      </c>
      <c r="AI1047" s="4">
        <v>1</v>
      </c>
      <c r="AJ1047" s="4">
        <v>3</v>
      </c>
      <c r="AK1047" s="4">
        <v>3</v>
      </c>
      <c r="AL1047" s="4">
        <v>0</v>
      </c>
      <c r="AM1047" s="4">
        <v>0</v>
      </c>
      <c r="AN1047" s="4">
        <v>0</v>
      </c>
      <c r="AO1047" s="4">
        <v>0</v>
      </c>
      <c r="AP1047" s="3" t="s">
        <v>58</v>
      </c>
      <c r="AQ1047" s="3" t="s">
        <v>58</v>
      </c>
      <c r="AS1047" s="6" t="str">
        <f>HYPERLINK("https://creighton-primo.hosted.exlibrisgroup.com/primo-explore/search?tab=default_tab&amp;search_scope=EVERYTHING&amp;vid=01CRU&amp;lang=en_US&amp;offset=0&amp;query=any,contains,991004741379702656","Catalog Record")</f>
        <v>Catalog Record</v>
      </c>
      <c r="AT1047" s="6" t="str">
        <f>HYPERLINK("http://www.worldcat.org/oclc/52802475","WorldCat Record")</f>
        <v>WorldCat Record</v>
      </c>
      <c r="AU1047" s="3" t="s">
        <v>13127</v>
      </c>
      <c r="AV1047" s="3" t="s">
        <v>13128</v>
      </c>
      <c r="AW1047" s="3" t="s">
        <v>13129</v>
      </c>
      <c r="AX1047" s="3" t="s">
        <v>13129</v>
      </c>
      <c r="AY1047" s="3" t="s">
        <v>13130</v>
      </c>
      <c r="AZ1047" s="3" t="s">
        <v>75</v>
      </c>
      <c r="BB1047" s="3" t="s">
        <v>13131</v>
      </c>
      <c r="BC1047" s="3" t="s">
        <v>13132</v>
      </c>
      <c r="BD1047" s="3" t="s">
        <v>13133</v>
      </c>
    </row>
    <row r="1048" spans="1:56" ht="39" customHeight="1" x14ac:dyDescent="0.25">
      <c r="A1048" s="7" t="s">
        <v>58</v>
      </c>
      <c r="B1048" s="2" t="s">
        <v>13134</v>
      </c>
      <c r="C1048" s="2" t="s">
        <v>13135</v>
      </c>
      <c r="D1048" s="2" t="s">
        <v>13136</v>
      </c>
      <c r="F1048" s="3" t="s">
        <v>58</v>
      </c>
      <c r="G1048" s="3" t="s">
        <v>59</v>
      </c>
      <c r="H1048" s="3" t="s">
        <v>58</v>
      </c>
      <c r="I1048" s="3" t="s">
        <v>58</v>
      </c>
      <c r="J1048" s="3" t="s">
        <v>60</v>
      </c>
      <c r="K1048" s="2" t="s">
        <v>13137</v>
      </c>
      <c r="L1048" s="2" t="s">
        <v>13138</v>
      </c>
      <c r="M1048" s="3" t="s">
        <v>98</v>
      </c>
      <c r="O1048" s="3" t="s">
        <v>65</v>
      </c>
      <c r="P1048" s="3" t="s">
        <v>186</v>
      </c>
      <c r="R1048" s="3" t="s">
        <v>68</v>
      </c>
      <c r="S1048" s="4">
        <v>1</v>
      </c>
      <c r="T1048" s="4">
        <v>1</v>
      </c>
      <c r="U1048" s="5" t="s">
        <v>13139</v>
      </c>
      <c r="V1048" s="5" t="s">
        <v>13139</v>
      </c>
      <c r="W1048" s="5" t="s">
        <v>13139</v>
      </c>
      <c r="X1048" s="5" t="s">
        <v>13139</v>
      </c>
      <c r="Y1048" s="4">
        <v>347</v>
      </c>
      <c r="Z1048" s="4">
        <v>307</v>
      </c>
      <c r="AA1048" s="4">
        <v>330</v>
      </c>
      <c r="AB1048" s="4">
        <v>4</v>
      </c>
      <c r="AC1048" s="4">
        <v>5</v>
      </c>
      <c r="AD1048" s="4">
        <v>9</v>
      </c>
      <c r="AE1048" s="4">
        <v>10</v>
      </c>
      <c r="AF1048" s="4">
        <v>5</v>
      </c>
      <c r="AG1048" s="4">
        <v>5</v>
      </c>
      <c r="AH1048" s="4">
        <v>0</v>
      </c>
      <c r="AI1048" s="4">
        <v>0</v>
      </c>
      <c r="AJ1048" s="4">
        <v>2</v>
      </c>
      <c r="AK1048" s="4">
        <v>2</v>
      </c>
      <c r="AL1048" s="4">
        <v>2</v>
      </c>
      <c r="AM1048" s="4">
        <v>3</v>
      </c>
      <c r="AN1048" s="4">
        <v>0</v>
      </c>
      <c r="AO1048" s="4">
        <v>0</v>
      </c>
      <c r="AP1048" s="3" t="s">
        <v>58</v>
      </c>
      <c r="AQ1048" s="3" t="s">
        <v>58</v>
      </c>
      <c r="AS1048" s="6" t="str">
        <f>HYPERLINK("https://creighton-primo.hosted.exlibrisgroup.com/primo-explore/search?tab=default_tab&amp;search_scope=EVERYTHING&amp;vid=01CRU&amp;lang=en_US&amp;offset=0&amp;query=any,contains,991000022139702656","Catalog Record")</f>
        <v>Catalog Record</v>
      </c>
      <c r="AT1048" s="6" t="str">
        <f>HYPERLINK("http://www.worldcat.org/oclc/996169","WorldCat Record")</f>
        <v>WorldCat Record</v>
      </c>
      <c r="AU1048" s="3" t="s">
        <v>13140</v>
      </c>
      <c r="AV1048" s="3" t="s">
        <v>13141</v>
      </c>
      <c r="AW1048" s="3" t="s">
        <v>13142</v>
      </c>
      <c r="AX1048" s="3" t="s">
        <v>13142</v>
      </c>
      <c r="AY1048" s="3" t="s">
        <v>13143</v>
      </c>
      <c r="AZ1048" s="3" t="s">
        <v>75</v>
      </c>
      <c r="BC1048" s="3" t="s">
        <v>13144</v>
      </c>
      <c r="BD1048" s="3" t="s">
        <v>13145</v>
      </c>
    </row>
    <row r="1049" spans="1:56" ht="39" customHeight="1" x14ac:dyDescent="0.25">
      <c r="A1049" s="7" t="s">
        <v>58</v>
      </c>
      <c r="B1049" s="2" t="s">
        <v>13146</v>
      </c>
      <c r="C1049" s="2" t="s">
        <v>13147</v>
      </c>
      <c r="D1049" s="2" t="s">
        <v>13148</v>
      </c>
      <c r="F1049" s="3" t="s">
        <v>58</v>
      </c>
      <c r="G1049" s="3" t="s">
        <v>59</v>
      </c>
      <c r="H1049" s="3" t="s">
        <v>58</v>
      </c>
      <c r="I1049" s="3" t="s">
        <v>58</v>
      </c>
      <c r="J1049" s="3" t="s">
        <v>60</v>
      </c>
      <c r="K1049" s="2" t="s">
        <v>13149</v>
      </c>
      <c r="L1049" s="2" t="s">
        <v>13150</v>
      </c>
      <c r="M1049" s="3" t="s">
        <v>361</v>
      </c>
      <c r="O1049" s="3" t="s">
        <v>65</v>
      </c>
      <c r="P1049" s="3" t="s">
        <v>201</v>
      </c>
      <c r="R1049" s="3" t="s">
        <v>68</v>
      </c>
      <c r="S1049" s="4">
        <v>1</v>
      </c>
      <c r="T1049" s="4">
        <v>1</v>
      </c>
      <c r="U1049" s="5" t="s">
        <v>3830</v>
      </c>
      <c r="V1049" s="5" t="s">
        <v>3830</v>
      </c>
      <c r="W1049" s="5" t="s">
        <v>3830</v>
      </c>
      <c r="X1049" s="5" t="s">
        <v>3830</v>
      </c>
      <c r="Y1049" s="4">
        <v>314</v>
      </c>
      <c r="Z1049" s="4">
        <v>262</v>
      </c>
      <c r="AA1049" s="4">
        <v>262</v>
      </c>
      <c r="AB1049" s="4">
        <v>3</v>
      </c>
      <c r="AC1049" s="4">
        <v>3</v>
      </c>
      <c r="AD1049" s="4">
        <v>12</v>
      </c>
      <c r="AE1049" s="4">
        <v>12</v>
      </c>
      <c r="AF1049" s="4">
        <v>4</v>
      </c>
      <c r="AG1049" s="4">
        <v>4</v>
      </c>
      <c r="AH1049" s="4">
        <v>1</v>
      </c>
      <c r="AI1049" s="4">
        <v>1</v>
      </c>
      <c r="AJ1049" s="4">
        <v>6</v>
      </c>
      <c r="AK1049" s="4">
        <v>6</v>
      </c>
      <c r="AL1049" s="4">
        <v>1</v>
      </c>
      <c r="AM1049" s="4">
        <v>1</v>
      </c>
      <c r="AN1049" s="4">
        <v>0</v>
      </c>
      <c r="AO1049" s="4">
        <v>0</v>
      </c>
      <c r="AP1049" s="3" t="s">
        <v>58</v>
      </c>
      <c r="AQ1049" s="3" t="s">
        <v>58</v>
      </c>
      <c r="AS1049" s="6" t="str">
        <f>HYPERLINK("https://creighton-primo.hosted.exlibrisgroup.com/primo-explore/search?tab=default_tab&amp;search_scope=EVERYTHING&amp;vid=01CRU&amp;lang=en_US&amp;offset=0&amp;query=any,contains,991000017299702656","Catalog Record")</f>
        <v>Catalog Record</v>
      </c>
      <c r="AT1049" s="6" t="str">
        <f>HYPERLINK("http://www.worldcat.org/oclc/10150147","WorldCat Record")</f>
        <v>WorldCat Record</v>
      </c>
      <c r="AU1049" s="3" t="s">
        <v>13151</v>
      </c>
      <c r="AV1049" s="3" t="s">
        <v>13152</v>
      </c>
      <c r="AW1049" s="3" t="s">
        <v>13153</v>
      </c>
      <c r="AX1049" s="3" t="s">
        <v>13153</v>
      </c>
      <c r="AY1049" s="3" t="s">
        <v>13154</v>
      </c>
      <c r="AZ1049" s="3" t="s">
        <v>75</v>
      </c>
      <c r="BB1049" s="3" t="s">
        <v>13155</v>
      </c>
      <c r="BC1049" s="3" t="s">
        <v>13156</v>
      </c>
      <c r="BD1049" s="3" t="s">
        <v>13157</v>
      </c>
    </row>
    <row r="1050" spans="1:56" ht="39" customHeight="1" x14ac:dyDescent="0.25">
      <c r="A1050" s="7" t="s">
        <v>58</v>
      </c>
      <c r="B1050" s="2" t="s">
        <v>13158</v>
      </c>
      <c r="C1050" s="2" t="s">
        <v>13159</v>
      </c>
      <c r="D1050" s="2" t="s">
        <v>13160</v>
      </c>
      <c r="F1050" s="3" t="s">
        <v>58</v>
      </c>
      <c r="G1050" s="3" t="s">
        <v>59</v>
      </c>
      <c r="H1050" s="3" t="s">
        <v>58</v>
      </c>
      <c r="I1050" s="3" t="s">
        <v>58</v>
      </c>
      <c r="J1050" s="3" t="s">
        <v>60</v>
      </c>
      <c r="K1050" s="2" t="s">
        <v>13161</v>
      </c>
      <c r="L1050" s="2" t="s">
        <v>2930</v>
      </c>
      <c r="M1050" s="3" t="s">
        <v>439</v>
      </c>
      <c r="O1050" s="3" t="s">
        <v>65</v>
      </c>
      <c r="P1050" s="3" t="s">
        <v>186</v>
      </c>
      <c r="R1050" s="3" t="s">
        <v>68</v>
      </c>
      <c r="S1050" s="4">
        <v>1</v>
      </c>
      <c r="T1050" s="4">
        <v>1</v>
      </c>
      <c r="U1050" s="5" t="s">
        <v>11558</v>
      </c>
      <c r="V1050" s="5" t="s">
        <v>11558</v>
      </c>
      <c r="W1050" s="5" t="s">
        <v>12856</v>
      </c>
      <c r="X1050" s="5" t="s">
        <v>12856</v>
      </c>
      <c r="Y1050" s="4">
        <v>84</v>
      </c>
      <c r="Z1050" s="4">
        <v>79</v>
      </c>
      <c r="AA1050" s="4">
        <v>79</v>
      </c>
      <c r="AB1050" s="4">
        <v>2</v>
      </c>
      <c r="AC1050" s="4">
        <v>2</v>
      </c>
      <c r="AD1050" s="4">
        <v>10</v>
      </c>
      <c r="AE1050" s="4">
        <v>10</v>
      </c>
      <c r="AF1050" s="4">
        <v>0</v>
      </c>
      <c r="AG1050" s="4">
        <v>0</v>
      </c>
      <c r="AH1050" s="4">
        <v>2</v>
      </c>
      <c r="AI1050" s="4">
        <v>2</v>
      </c>
      <c r="AJ1050" s="4">
        <v>7</v>
      </c>
      <c r="AK1050" s="4">
        <v>7</v>
      </c>
      <c r="AL1050" s="4">
        <v>1</v>
      </c>
      <c r="AM1050" s="4">
        <v>1</v>
      </c>
      <c r="AN1050" s="4">
        <v>0</v>
      </c>
      <c r="AO1050" s="4">
        <v>0</v>
      </c>
      <c r="AP1050" s="3" t="s">
        <v>58</v>
      </c>
      <c r="AQ1050" s="3" t="s">
        <v>58</v>
      </c>
      <c r="AS1050" s="6" t="str">
        <f>HYPERLINK("https://creighton-primo.hosted.exlibrisgroup.com/primo-explore/search?tab=default_tab&amp;search_scope=EVERYTHING&amp;vid=01CRU&amp;lang=en_US&amp;offset=0&amp;query=any,contains,991005017829702656","Catalog Record")</f>
        <v>Catalog Record</v>
      </c>
      <c r="AT1050" s="6" t="str">
        <f>HYPERLINK("http://www.worldcat.org/oclc/6627914","WorldCat Record")</f>
        <v>WorldCat Record</v>
      </c>
      <c r="AU1050" s="3" t="s">
        <v>13162</v>
      </c>
      <c r="AV1050" s="3" t="s">
        <v>13163</v>
      </c>
      <c r="AW1050" s="3" t="s">
        <v>13164</v>
      </c>
      <c r="AX1050" s="3" t="s">
        <v>13164</v>
      </c>
      <c r="AY1050" s="3" t="s">
        <v>13165</v>
      </c>
      <c r="AZ1050" s="3" t="s">
        <v>75</v>
      </c>
      <c r="BB1050" s="3" t="s">
        <v>13166</v>
      </c>
      <c r="BC1050" s="3" t="s">
        <v>13167</v>
      </c>
      <c r="BD1050" s="3" t="s">
        <v>13168</v>
      </c>
    </row>
    <row r="1051" spans="1:56" ht="39" customHeight="1" x14ac:dyDescent="0.25">
      <c r="A1051" s="7" t="s">
        <v>58</v>
      </c>
      <c r="B1051" s="2" t="s">
        <v>13169</v>
      </c>
      <c r="C1051" s="2" t="s">
        <v>13170</v>
      </c>
      <c r="D1051" s="2" t="s">
        <v>13171</v>
      </c>
      <c r="F1051" s="3" t="s">
        <v>58</v>
      </c>
      <c r="G1051" s="3" t="s">
        <v>59</v>
      </c>
      <c r="H1051" s="3" t="s">
        <v>58</v>
      </c>
      <c r="I1051" s="3" t="s">
        <v>58</v>
      </c>
      <c r="J1051" s="3" t="s">
        <v>60</v>
      </c>
      <c r="K1051" s="2" t="s">
        <v>13161</v>
      </c>
      <c r="L1051" s="2" t="s">
        <v>5519</v>
      </c>
      <c r="M1051" s="3" t="s">
        <v>157</v>
      </c>
      <c r="O1051" s="3" t="s">
        <v>65</v>
      </c>
      <c r="P1051" s="3" t="s">
        <v>571</v>
      </c>
      <c r="R1051" s="3" t="s">
        <v>68</v>
      </c>
      <c r="S1051" s="4">
        <v>1</v>
      </c>
      <c r="T1051" s="4">
        <v>1</v>
      </c>
      <c r="U1051" s="5" t="s">
        <v>11558</v>
      </c>
      <c r="V1051" s="5" t="s">
        <v>11558</v>
      </c>
      <c r="W1051" s="5" t="s">
        <v>12856</v>
      </c>
      <c r="X1051" s="5" t="s">
        <v>12856</v>
      </c>
      <c r="Y1051" s="4">
        <v>84</v>
      </c>
      <c r="Z1051" s="4">
        <v>72</v>
      </c>
      <c r="AA1051" s="4">
        <v>77</v>
      </c>
      <c r="AB1051" s="4">
        <v>1</v>
      </c>
      <c r="AC1051" s="4">
        <v>1</v>
      </c>
      <c r="AD1051" s="4">
        <v>5</v>
      </c>
      <c r="AE1051" s="4">
        <v>5</v>
      </c>
      <c r="AF1051" s="4">
        <v>1</v>
      </c>
      <c r="AG1051" s="4">
        <v>1</v>
      </c>
      <c r="AH1051" s="4">
        <v>1</v>
      </c>
      <c r="AI1051" s="4">
        <v>1</v>
      </c>
      <c r="AJ1051" s="4">
        <v>4</v>
      </c>
      <c r="AK1051" s="4">
        <v>4</v>
      </c>
      <c r="AL1051" s="4">
        <v>0</v>
      </c>
      <c r="AM1051" s="4">
        <v>0</v>
      </c>
      <c r="AN1051" s="4">
        <v>0</v>
      </c>
      <c r="AO1051" s="4">
        <v>0</v>
      </c>
      <c r="AP1051" s="3" t="s">
        <v>58</v>
      </c>
      <c r="AQ1051" s="3" t="s">
        <v>58</v>
      </c>
      <c r="AS1051" s="6" t="str">
        <f>HYPERLINK("https://creighton-primo.hosted.exlibrisgroup.com/primo-explore/search?tab=default_tab&amp;search_scope=EVERYTHING&amp;vid=01CRU&amp;lang=en_US&amp;offset=0&amp;query=any,contains,991000045329702656","Catalog Record")</f>
        <v>Catalog Record</v>
      </c>
      <c r="AT1051" s="6" t="str">
        <f>HYPERLINK("http://www.worldcat.org/oclc/8668359","WorldCat Record")</f>
        <v>WorldCat Record</v>
      </c>
      <c r="AU1051" s="3" t="s">
        <v>13172</v>
      </c>
      <c r="AV1051" s="3" t="s">
        <v>13173</v>
      </c>
      <c r="AW1051" s="3" t="s">
        <v>13174</v>
      </c>
      <c r="AX1051" s="3" t="s">
        <v>13174</v>
      </c>
      <c r="AY1051" s="3" t="s">
        <v>13175</v>
      </c>
      <c r="AZ1051" s="3" t="s">
        <v>75</v>
      </c>
      <c r="BB1051" s="3" t="s">
        <v>13176</v>
      </c>
      <c r="BC1051" s="3" t="s">
        <v>13177</v>
      </c>
      <c r="BD1051" s="3" t="s">
        <v>13178</v>
      </c>
    </row>
    <row r="1052" spans="1:56" ht="39" customHeight="1" x14ac:dyDescent="0.25">
      <c r="A1052" s="7" t="s">
        <v>58</v>
      </c>
      <c r="B1052" s="2" t="s">
        <v>13179</v>
      </c>
      <c r="C1052" s="2" t="s">
        <v>13180</v>
      </c>
      <c r="D1052" s="2" t="s">
        <v>13181</v>
      </c>
      <c r="F1052" s="3" t="s">
        <v>58</v>
      </c>
      <c r="G1052" s="3" t="s">
        <v>59</v>
      </c>
      <c r="H1052" s="3" t="s">
        <v>58</v>
      </c>
      <c r="I1052" s="3" t="s">
        <v>58</v>
      </c>
      <c r="J1052" s="3" t="s">
        <v>60</v>
      </c>
      <c r="K1052" s="2" t="s">
        <v>13182</v>
      </c>
      <c r="L1052" s="2" t="s">
        <v>8559</v>
      </c>
      <c r="M1052" s="3" t="s">
        <v>185</v>
      </c>
      <c r="N1052" s="2" t="s">
        <v>476</v>
      </c>
      <c r="O1052" s="3" t="s">
        <v>65</v>
      </c>
      <c r="P1052" s="3" t="s">
        <v>477</v>
      </c>
      <c r="R1052" s="3" t="s">
        <v>68</v>
      </c>
      <c r="S1052" s="4">
        <v>3</v>
      </c>
      <c r="T1052" s="4">
        <v>3</v>
      </c>
      <c r="U1052" s="5" t="s">
        <v>13183</v>
      </c>
      <c r="V1052" s="5" t="s">
        <v>13183</v>
      </c>
      <c r="W1052" s="5" t="s">
        <v>13184</v>
      </c>
      <c r="X1052" s="5" t="s">
        <v>13184</v>
      </c>
      <c r="Y1052" s="4">
        <v>266</v>
      </c>
      <c r="Z1052" s="4">
        <v>224</v>
      </c>
      <c r="AA1052" s="4">
        <v>286</v>
      </c>
      <c r="AB1052" s="4">
        <v>2</v>
      </c>
      <c r="AC1052" s="4">
        <v>3</v>
      </c>
      <c r="AD1052" s="4">
        <v>9</v>
      </c>
      <c r="AE1052" s="4">
        <v>10</v>
      </c>
      <c r="AF1052" s="4">
        <v>4</v>
      </c>
      <c r="AG1052" s="4">
        <v>5</v>
      </c>
      <c r="AH1052" s="4">
        <v>2</v>
      </c>
      <c r="AI1052" s="4">
        <v>3</v>
      </c>
      <c r="AJ1052" s="4">
        <v>3</v>
      </c>
      <c r="AK1052" s="4">
        <v>3</v>
      </c>
      <c r="AL1052" s="4">
        <v>1</v>
      </c>
      <c r="AM1052" s="4">
        <v>1</v>
      </c>
      <c r="AN1052" s="4">
        <v>0</v>
      </c>
      <c r="AO1052" s="4">
        <v>0</v>
      </c>
      <c r="AP1052" s="3" t="s">
        <v>58</v>
      </c>
      <c r="AQ1052" s="3" t="s">
        <v>58</v>
      </c>
      <c r="AS1052" s="6" t="str">
        <f>HYPERLINK("https://creighton-primo.hosted.exlibrisgroup.com/primo-explore/search?tab=default_tab&amp;search_scope=EVERYTHING&amp;vid=01CRU&amp;lang=en_US&amp;offset=0&amp;query=any,contains,991004521099702656","Catalog Record")</f>
        <v>Catalog Record</v>
      </c>
      <c r="AT1052" s="6" t="str">
        <f>HYPERLINK("http://www.worldcat.org/oclc/42923488","WorldCat Record")</f>
        <v>WorldCat Record</v>
      </c>
      <c r="AU1052" s="3" t="s">
        <v>13185</v>
      </c>
      <c r="AV1052" s="3" t="s">
        <v>13186</v>
      </c>
      <c r="AW1052" s="3" t="s">
        <v>13187</v>
      </c>
      <c r="AX1052" s="3" t="s">
        <v>13187</v>
      </c>
      <c r="AY1052" s="3" t="s">
        <v>13188</v>
      </c>
      <c r="AZ1052" s="3" t="s">
        <v>75</v>
      </c>
      <c r="BB1052" s="3" t="s">
        <v>13189</v>
      </c>
      <c r="BC1052" s="3" t="s">
        <v>13190</v>
      </c>
      <c r="BD1052" s="3" t="s">
        <v>13191</v>
      </c>
    </row>
    <row r="1053" spans="1:56" ht="39" customHeight="1" x14ac:dyDescent="0.25">
      <c r="A1053" s="7" t="s">
        <v>58</v>
      </c>
      <c r="B1053" s="2" t="s">
        <v>13192</v>
      </c>
      <c r="C1053" s="2" t="s">
        <v>13193</v>
      </c>
      <c r="D1053" s="2" t="s">
        <v>13194</v>
      </c>
      <c r="F1053" s="3" t="s">
        <v>58</v>
      </c>
      <c r="G1053" s="3" t="s">
        <v>59</v>
      </c>
      <c r="H1053" s="3" t="s">
        <v>58</v>
      </c>
      <c r="I1053" s="3" t="s">
        <v>58</v>
      </c>
      <c r="J1053" s="3" t="s">
        <v>60</v>
      </c>
      <c r="K1053" s="2" t="s">
        <v>13195</v>
      </c>
      <c r="L1053" s="2" t="s">
        <v>13196</v>
      </c>
      <c r="M1053" s="3" t="s">
        <v>3656</v>
      </c>
      <c r="O1053" s="3" t="s">
        <v>65</v>
      </c>
      <c r="P1053" s="3" t="s">
        <v>245</v>
      </c>
      <c r="R1053" s="3" t="s">
        <v>68</v>
      </c>
      <c r="S1053" s="4">
        <v>1</v>
      </c>
      <c r="T1053" s="4">
        <v>1</v>
      </c>
      <c r="U1053" s="5" t="s">
        <v>7782</v>
      </c>
      <c r="V1053" s="5" t="s">
        <v>7782</v>
      </c>
      <c r="W1053" s="5" t="s">
        <v>7782</v>
      </c>
      <c r="X1053" s="5" t="s">
        <v>7782</v>
      </c>
      <c r="Y1053" s="4">
        <v>113</v>
      </c>
      <c r="Z1053" s="4">
        <v>97</v>
      </c>
      <c r="AA1053" s="4">
        <v>121</v>
      </c>
      <c r="AB1053" s="4">
        <v>2</v>
      </c>
      <c r="AC1053" s="4">
        <v>3</v>
      </c>
      <c r="AD1053" s="4">
        <v>6</v>
      </c>
      <c r="AE1053" s="4">
        <v>8</v>
      </c>
      <c r="AF1053" s="4">
        <v>1</v>
      </c>
      <c r="AG1053" s="4">
        <v>2</v>
      </c>
      <c r="AH1053" s="4">
        <v>1</v>
      </c>
      <c r="AI1053" s="4">
        <v>2</v>
      </c>
      <c r="AJ1053" s="4">
        <v>4</v>
      </c>
      <c r="AK1053" s="4">
        <v>4</v>
      </c>
      <c r="AL1053" s="4">
        <v>1</v>
      </c>
      <c r="AM1053" s="4">
        <v>2</v>
      </c>
      <c r="AN1053" s="4">
        <v>0</v>
      </c>
      <c r="AO1053" s="4">
        <v>0</v>
      </c>
      <c r="AP1053" s="3" t="s">
        <v>58</v>
      </c>
      <c r="AQ1053" s="3" t="s">
        <v>58</v>
      </c>
      <c r="AS1053" s="6" t="str">
        <f>HYPERLINK("https://creighton-primo.hosted.exlibrisgroup.com/primo-explore/search?tab=default_tab&amp;search_scope=EVERYTHING&amp;vid=01CRU&amp;lang=en_US&amp;offset=0&amp;query=any,contains,991004793749702656","Catalog Record")</f>
        <v>Catalog Record</v>
      </c>
      <c r="AT1053" s="6" t="str">
        <f>HYPERLINK("http://www.worldcat.org/oclc/37024756","WorldCat Record")</f>
        <v>WorldCat Record</v>
      </c>
      <c r="AU1053" s="3" t="s">
        <v>13197</v>
      </c>
      <c r="AV1053" s="3" t="s">
        <v>13198</v>
      </c>
      <c r="AW1053" s="3" t="s">
        <v>13199</v>
      </c>
      <c r="AX1053" s="3" t="s">
        <v>13199</v>
      </c>
      <c r="AY1053" s="3" t="s">
        <v>13200</v>
      </c>
      <c r="AZ1053" s="3" t="s">
        <v>75</v>
      </c>
      <c r="BB1053" s="3" t="s">
        <v>13201</v>
      </c>
      <c r="BC1053" s="3" t="s">
        <v>13202</v>
      </c>
      <c r="BD1053" s="3" t="s">
        <v>13203</v>
      </c>
    </row>
    <row r="1054" spans="1:56" ht="39" customHeight="1" x14ac:dyDescent="0.25">
      <c r="A1054" s="7" t="s">
        <v>58</v>
      </c>
      <c r="B1054" s="2" t="s">
        <v>13204</v>
      </c>
      <c r="C1054" s="2" t="s">
        <v>13205</v>
      </c>
      <c r="D1054" s="2" t="s">
        <v>13206</v>
      </c>
      <c r="F1054" s="3" t="s">
        <v>58</v>
      </c>
      <c r="G1054" s="3" t="s">
        <v>59</v>
      </c>
      <c r="H1054" s="3" t="s">
        <v>58</v>
      </c>
      <c r="I1054" s="3" t="s">
        <v>58</v>
      </c>
      <c r="J1054" s="3" t="s">
        <v>60</v>
      </c>
      <c r="K1054" s="2" t="s">
        <v>13207</v>
      </c>
      <c r="L1054" s="2" t="s">
        <v>13208</v>
      </c>
      <c r="M1054" s="3" t="s">
        <v>374</v>
      </c>
      <c r="O1054" s="3" t="s">
        <v>65</v>
      </c>
      <c r="P1054" s="3" t="s">
        <v>304</v>
      </c>
      <c r="R1054" s="3" t="s">
        <v>68</v>
      </c>
      <c r="S1054" s="4">
        <v>6</v>
      </c>
      <c r="T1054" s="4">
        <v>6</v>
      </c>
      <c r="U1054" s="5" t="s">
        <v>13209</v>
      </c>
      <c r="V1054" s="5" t="s">
        <v>13209</v>
      </c>
      <c r="W1054" s="5" t="s">
        <v>13210</v>
      </c>
      <c r="X1054" s="5" t="s">
        <v>13210</v>
      </c>
      <c r="Y1054" s="4">
        <v>162</v>
      </c>
      <c r="Z1054" s="4">
        <v>122</v>
      </c>
      <c r="AA1054" s="4">
        <v>127</v>
      </c>
      <c r="AB1054" s="4">
        <v>2</v>
      </c>
      <c r="AC1054" s="4">
        <v>2</v>
      </c>
      <c r="AD1054" s="4">
        <v>11</v>
      </c>
      <c r="AE1054" s="4">
        <v>11</v>
      </c>
      <c r="AF1054" s="4">
        <v>2</v>
      </c>
      <c r="AG1054" s="4">
        <v>2</v>
      </c>
      <c r="AH1054" s="4">
        <v>1</v>
      </c>
      <c r="AI1054" s="4">
        <v>1</v>
      </c>
      <c r="AJ1054" s="4">
        <v>8</v>
      </c>
      <c r="AK1054" s="4">
        <v>8</v>
      </c>
      <c r="AL1054" s="4">
        <v>1</v>
      </c>
      <c r="AM1054" s="4">
        <v>1</v>
      </c>
      <c r="AN1054" s="4">
        <v>0</v>
      </c>
      <c r="AO1054" s="4">
        <v>0</v>
      </c>
      <c r="AP1054" s="3" t="s">
        <v>58</v>
      </c>
      <c r="AQ1054" s="3" t="s">
        <v>58</v>
      </c>
      <c r="AS1054" s="6" t="str">
        <f>HYPERLINK("https://creighton-primo.hosted.exlibrisgroup.com/primo-explore/search?tab=default_tab&amp;search_scope=EVERYTHING&amp;vid=01CRU&amp;lang=en_US&amp;offset=0&amp;query=any,contains,991002487049702656","Catalog Record")</f>
        <v>Catalog Record</v>
      </c>
      <c r="AT1054" s="6" t="str">
        <f>HYPERLINK("http://www.worldcat.org/oclc/32355245","WorldCat Record")</f>
        <v>WorldCat Record</v>
      </c>
      <c r="AU1054" s="3" t="s">
        <v>13211</v>
      </c>
      <c r="AV1054" s="3" t="s">
        <v>13212</v>
      </c>
      <c r="AW1054" s="3" t="s">
        <v>13213</v>
      </c>
      <c r="AX1054" s="3" t="s">
        <v>13213</v>
      </c>
      <c r="AY1054" s="3" t="s">
        <v>13214</v>
      </c>
      <c r="AZ1054" s="3" t="s">
        <v>75</v>
      </c>
      <c r="BB1054" s="3" t="s">
        <v>13215</v>
      </c>
      <c r="BC1054" s="3" t="s">
        <v>13216</v>
      </c>
      <c r="BD1054" s="3" t="s">
        <v>13217</v>
      </c>
    </row>
    <row r="1055" spans="1:56" ht="39" customHeight="1" x14ac:dyDescent="0.25">
      <c r="A1055" s="7" t="s">
        <v>58</v>
      </c>
      <c r="B1055" s="2" t="s">
        <v>13218</v>
      </c>
      <c r="C1055" s="2" t="s">
        <v>13219</v>
      </c>
      <c r="D1055" s="2" t="s">
        <v>13220</v>
      </c>
      <c r="F1055" s="3" t="s">
        <v>58</v>
      </c>
      <c r="G1055" s="3" t="s">
        <v>59</v>
      </c>
      <c r="H1055" s="3" t="s">
        <v>58</v>
      </c>
      <c r="I1055" s="3" t="s">
        <v>58</v>
      </c>
      <c r="J1055" s="3" t="s">
        <v>60</v>
      </c>
      <c r="K1055" s="2" t="s">
        <v>13221</v>
      </c>
      <c r="L1055" s="2" t="s">
        <v>8006</v>
      </c>
      <c r="M1055" s="3" t="s">
        <v>1046</v>
      </c>
      <c r="N1055" s="2" t="s">
        <v>476</v>
      </c>
      <c r="O1055" s="3" t="s">
        <v>65</v>
      </c>
      <c r="P1055" s="3" t="s">
        <v>477</v>
      </c>
      <c r="R1055" s="3" t="s">
        <v>68</v>
      </c>
      <c r="S1055" s="4">
        <v>1</v>
      </c>
      <c r="T1055" s="4">
        <v>1</v>
      </c>
      <c r="U1055" s="5" t="s">
        <v>5080</v>
      </c>
      <c r="V1055" s="5" t="s">
        <v>5080</v>
      </c>
      <c r="W1055" s="5" t="s">
        <v>5080</v>
      </c>
      <c r="X1055" s="5" t="s">
        <v>5080</v>
      </c>
      <c r="Y1055" s="4">
        <v>151</v>
      </c>
      <c r="Z1055" s="4">
        <v>129</v>
      </c>
      <c r="AA1055" s="4">
        <v>129</v>
      </c>
      <c r="AB1055" s="4">
        <v>1</v>
      </c>
      <c r="AC1055" s="4">
        <v>1</v>
      </c>
      <c r="AD1055" s="4">
        <v>11</v>
      </c>
      <c r="AE1055" s="4">
        <v>11</v>
      </c>
      <c r="AF1055" s="4">
        <v>2</v>
      </c>
      <c r="AG1055" s="4">
        <v>2</v>
      </c>
      <c r="AH1055" s="4">
        <v>1</v>
      </c>
      <c r="AI1055" s="4">
        <v>1</v>
      </c>
      <c r="AJ1055" s="4">
        <v>9</v>
      </c>
      <c r="AK1055" s="4">
        <v>9</v>
      </c>
      <c r="AL1055" s="4">
        <v>0</v>
      </c>
      <c r="AM1055" s="4">
        <v>0</v>
      </c>
      <c r="AN1055" s="4">
        <v>0</v>
      </c>
      <c r="AO1055" s="4">
        <v>0</v>
      </c>
      <c r="AP1055" s="3" t="s">
        <v>58</v>
      </c>
      <c r="AQ1055" s="3" t="s">
        <v>58</v>
      </c>
      <c r="AS1055" s="6" t="str">
        <f>HYPERLINK("https://creighton-primo.hosted.exlibrisgroup.com/primo-explore/search?tab=default_tab&amp;search_scope=EVERYTHING&amp;vid=01CRU&amp;lang=en_US&amp;offset=0&amp;query=any,contains,991005232419702656","Catalog Record")</f>
        <v>Catalog Record</v>
      </c>
      <c r="AT1055" s="6" t="str">
        <f>HYPERLINK("http://www.worldcat.org/oclc/13796447","WorldCat Record")</f>
        <v>WorldCat Record</v>
      </c>
      <c r="AU1055" s="3" t="s">
        <v>13222</v>
      </c>
      <c r="AV1055" s="3" t="s">
        <v>13223</v>
      </c>
      <c r="AW1055" s="3" t="s">
        <v>13224</v>
      </c>
      <c r="AX1055" s="3" t="s">
        <v>13224</v>
      </c>
      <c r="AY1055" s="3" t="s">
        <v>13225</v>
      </c>
      <c r="AZ1055" s="3" t="s">
        <v>75</v>
      </c>
      <c r="BB1055" s="3" t="s">
        <v>13226</v>
      </c>
      <c r="BC1055" s="3" t="s">
        <v>13227</v>
      </c>
      <c r="BD1055" s="3" t="s">
        <v>13228</v>
      </c>
    </row>
    <row r="1056" spans="1:56" ht="39" customHeight="1" x14ac:dyDescent="0.25">
      <c r="A1056" s="7" t="s">
        <v>58</v>
      </c>
      <c r="B1056" s="2" t="s">
        <v>13229</v>
      </c>
      <c r="C1056" s="2" t="s">
        <v>13230</v>
      </c>
      <c r="D1056" s="2" t="s">
        <v>13231</v>
      </c>
      <c r="F1056" s="3" t="s">
        <v>58</v>
      </c>
      <c r="G1056" s="3" t="s">
        <v>59</v>
      </c>
      <c r="H1056" s="3" t="s">
        <v>58</v>
      </c>
      <c r="I1056" s="3" t="s">
        <v>58</v>
      </c>
      <c r="J1056" s="3" t="s">
        <v>60</v>
      </c>
      <c r="K1056" s="2" t="s">
        <v>13232</v>
      </c>
      <c r="L1056" s="2" t="s">
        <v>13233</v>
      </c>
      <c r="M1056" s="3" t="s">
        <v>1150</v>
      </c>
      <c r="O1056" s="3" t="s">
        <v>65</v>
      </c>
      <c r="P1056" s="3" t="s">
        <v>1246</v>
      </c>
      <c r="R1056" s="3" t="s">
        <v>68</v>
      </c>
      <c r="S1056" s="4">
        <v>5</v>
      </c>
      <c r="T1056" s="4">
        <v>5</v>
      </c>
      <c r="U1056" s="5" t="s">
        <v>13234</v>
      </c>
      <c r="V1056" s="5" t="s">
        <v>13234</v>
      </c>
      <c r="W1056" s="5" t="s">
        <v>7235</v>
      </c>
      <c r="X1056" s="5" t="s">
        <v>7235</v>
      </c>
      <c r="Y1056" s="4">
        <v>40</v>
      </c>
      <c r="Z1056" s="4">
        <v>36</v>
      </c>
      <c r="AA1056" s="4">
        <v>84</v>
      </c>
      <c r="AB1056" s="4">
        <v>1</v>
      </c>
      <c r="AC1056" s="4">
        <v>2</v>
      </c>
      <c r="AD1056" s="4">
        <v>0</v>
      </c>
      <c r="AE1056" s="4">
        <v>3</v>
      </c>
      <c r="AF1056" s="4">
        <v>0</v>
      </c>
      <c r="AG1056" s="4">
        <v>1</v>
      </c>
      <c r="AH1056" s="4">
        <v>0</v>
      </c>
      <c r="AI1056" s="4">
        <v>0</v>
      </c>
      <c r="AJ1056" s="4">
        <v>0</v>
      </c>
      <c r="AK1056" s="4">
        <v>1</v>
      </c>
      <c r="AL1056" s="4">
        <v>0</v>
      </c>
      <c r="AM1056" s="4">
        <v>1</v>
      </c>
      <c r="AN1056" s="4">
        <v>0</v>
      </c>
      <c r="AO1056" s="4">
        <v>0</v>
      </c>
      <c r="AP1056" s="3" t="s">
        <v>58</v>
      </c>
      <c r="AQ1056" s="3" t="s">
        <v>58</v>
      </c>
      <c r="AS1056" s="6" t="str">
        <f>HYPERLINK("https://creighton-primo.hosted.exlibrisgroup.com/primo-explore/search?tab=default_tab&amp;search_scope=EVERYTHING&amp;vid=01CRU&amp;lang=en_US&amp;offset=0&amp;query=any,contains,991002660789702656","Catalog Record")</f>
        <v>Catalog Record</v>
      </c>
      <c r="AT1056" s="6" t="str">
        <f>HYPERLINK("http://www.worldcat.org/oclc/34775972","WorldCat Record")</f>
        <v>WorldCat Record</v>
      </c>
      <c r="AU1056" s="3" t="s">
        <v>13235</v>
      </c>
      <c r="AV1056" s="3" t="s">
        <v>13236</v>
      </c>
      <c r="AW1056" s="3" t="s">
        <v>13237</v>
      </c>
      <c r="AX1056" s="3" t="s">
        <v>13237</v>
      </c>
      <c r="AY1056" s="3" t="s">
        <v>13238</v>
      </c>
      <c r="AZ1056" s="3" t="s">
        <v>75</v>
      </c>
      <c r="BB1056" s="3" t="s">
        <v>13239</v>
      </c>
      <c r="BC1056" s="3" t="s">
        <v>13240</v>
      </c>
      <c r="BD1056" s="3" t="s">
        <v>13241</v>
      </c>
    </row>
    <row r="1057" spans="1:56" ht="39" customHeight="1" x14ac:dyDescent="0.25">
      <c r="A1057" s="7" t="s">
        <v>58</v>
      </c>
      <c r="B1057" s="2" t="s">
        <v>13242</v>
      </c>
      <c r="C1057" s="2" t="s">
        <v>13243</v>
      </c>
      <c r="D1057" s="2" t="s">
        <v>13244</v>
      </c>
      <c r="F1057" s="3" t="s">
        <v>58</v>
      </c>
      <c r="G1057" s="3" t="s">
        <v>59</v>
      </c>
      <c r="H1057" s="3" t="s">
        <v>58</v>
      </c>
      <c r="I1057" s="3" t="s">
        <v>58</v>
      </c>
      <c r="J1057" s="3" t="s">
        <v>60</v>
      </c>
      <c r="K1057" s="2" t="s">
        <v>13245</v>
      </c>
      <c r="L1057" s="2" t="s">
        <v>13246</v>
      </c>
      <c r="M1057" s="3" t="s">
        <v>215</v>
      </c>
      <c r="O1057" s="3" t="s">
        <v>65</v>
      </c>
      <c r="P1057" s="3" t="s">
        <v>2664</v>
      </c>
      <c r="R1057" s="3" t="s">
        <v>68</v>
      </c>
      <c r="S1057" s="4">
        <v>2</v>
      </c>
      <c r="T1057" s="4">
        <v>2</v>
      </c>
      <c r="U1057" s="5" t="s">
        <v>1084</v>
      </c>
      <c r="V1057" s="5" t="s">
        <v>1084</v>
      </c>
      <c r="W1057" s="5" t="s">
        <v>1084</v>
      </c>
      <c r="X1057" s="5" t="s">
        <v>1084</v>
      </c>
      <c r="Y1057" s="4">
        <v>91</v>
      </c>
      <c r="Z1057" s="4">
        <v>77</v>
      </c>
      <c r="AA1057" s="4">
        <v>82</v>
      </c>
      <c r="AB1057" s="4">
        <v>1</v>
      </c>
      <c r="AC1057" s="4">
        <v>1</v>
      </c>
      <c r="AD1057" s="4">
        <v>12</v>
      </c>
      <c r="AE1057" s="4">
        <v>13</v>
      </c>
      <c r="AF1057" s="4">
        <v>3</v>
      </c>
      <c r="AG1057" s="4">
        <v>3</v>
      </c>
      <c r="AH1057" s="4">
        <v>3</v>
      </c>
      <c r="AI1057" s="4">
        <v>4</v>
      </c>
      <c r="AJ1057" s="4">
        <v>8</v>
      </c>
      <c r="AK1057" s="4">
        <v>9</v>
      </c>
      <c r="AL1057" s="4">
        <v>0</v>
      </c>
      <c r="AM1057" s="4">
        <v>0</v>
      </c>
      <c r="AN1057" s="4">
        <v>0</v>
      </c>
      <c r="AO1057" s="4">
        <v>0</v>
      </c>
      <c r="AP1057" s="3" t="s">
        <v>58</v>
      </c>
      <c r="AQ1057" s="3" t="s">
        <v>58</v>
      </c>
      <c r="AS1057" s="6" t="str">
        <f>HYPERLINK("https://creighton-primo.hosted.exlibrisgroup.com/primo-explore/search?tab=default_tab&amp;search_scope=EVERYTHING&amp;vid=01CRU&amp;lang=en_US&amp;offset=0&amp;query=any,contains,991004529459702656","Catalog Record")</f>
        <v>Catalog Record</v>
      </c>
      <c r="AT1057" s="6" t="str">
        <f>HYPERLINK("http://www.worldcat.org/oclc/15154645","WorldCat Record")</f>
        <v>WorldCat Record</v>
      </c>
      <c r="AU1057" s="3" t="s">
        <v>13247</v>
      </c>
      <c r="AV1057" s="3" t="s">
        <v>13248</v>
      </c>
      <c r="AW1057" s="3" t="s">
        <v>13249</v>
      </c>
      <c r="AX1057" s="3" t="s">
        <v>13249</v>
      </c>
      <c r="AY1057" s="3" t="s">
        <v>13250</v>
      </c>
      <c r="AZ1057" s="3" t="s">
        <v>75</v>
      </c>
      <c r="BB1057" s="3" t="s">
        <v>13251</v>
      </c>
      <c r="BC1057" s="3" t="s">
        <v>13252</v>
      </c>
      <c r="BD1057" s="3" t="s">
        <v>13253</v>
      </c>
    </row>
    <row r="1058" spans="1:56" ht="39" customHeight="1" x14ac:dyDescent="0.25">
      <c r="A1058" s="7" t="s">
        <v>58</v>
      </c>
      <c r="B1058" s="2" t="s">
        <v>13254</v>
      </c>
      <c r="C1058" s="2" t="s">
        <v>13255</v>
      </c>
      <c r="D1058" s="2" t="s">
        <v>13256</v>
      </c>
      <c r="F1058" s="3" t="s">
        <v>58</v>
      </c>
      <c r="G1058" s="3" t="s">
        <v>59</v>
      </c>
      <c r="H1058" s="3" t="s">
        <v>58</v>
      </c>
      <c r="I1058" s="3" t="s">
        <v>58</v>
      </c>
      <c r="J1058" s="3" t="s">
        <v>60</v>
      </c>
      <c r="L1058" s="2" t="s">
        <v>13257</v>
      </c>
      <c r="M1058" s="3" t="s">
        <v>966</v>
      </c>
      <c r="O1058" s="3" t="s">
        <v>65</v>
      </c>
      <c r="P1058" s="3" t="s">
        <v>346</v>
      </c>
      <c r="R1058" s="3" t="s">
        <v>68</v>
      </c>
      <c r="S1058" s="4">
        <v>6</v>
      </c>
      <c r="T1058" s="4">
        <v>6</v>
      </c>
      <c r="U1058" s="5" t="s">
        <v>13258</v>
      </c>
      <c r="V1058" s="5" t="s">
        <v>13258</v>
      </c>
      <c r="W1058" s="5" t="s">
        <v>13259</v>
      </c>
      <c r="X1058" s="5" t="s">
        <v>13259</v>
      </c>
      <c r="Y1058" s="4">
        <v>226</v>
      </c>
      <c r="Z1058" s="4">
        <v>193</v>
      </c>
      <c r="AA1058" s="4">
        <v>198</v>
      </c>
      <c r="AB1058" s="4">
        <v>2</v>
      </c>
      <c r="AC1058" s="4">
        <v>2</v>
      </c>
      <c r="AD1058" s="4">
        <v>10</v>
      </c>
      <c r="AE1058" s="4">
        <v>10</v>
      </c>
      <c r="AF1058" s="4">
        <v>5</v>
      </c>
      <c r="AG1058" s="4">
        <v>5</v>
      </c>
      <c r="AH1058" s="4">
        <v>2</v>
      </c>
      <c r="AI1058" s="4">
        <v>2</v>
      </c>
      <c r="AJ1058" s="4">
        <v>3</v>
      </c>
      <c r="AK1058" s="4">
        <v>3</v>
      </c>
      <c r="AL1058" s="4">
        <v>1</v>
      </c>
      <c r="AM1058" s="4">
        <v>1</v>
      </c>
      <c r="AN1058" s="4">
        <v>0</v>
      </c>
      <c r="AO1058" s="4">
        <v>0</v>
      </c>
      <c r="AP1058" s="3" t="s">
        <v>58</v>
      </c>
      <c r="AQ1058" s="3" t="s">
        <v>58</v>
      </c>
      <c r="AS1058" s="6" t="str">
        <f>HYPERLINK("https://creighton-primo.hosted.exlibrisgroup.com/primo-explore/search?tab=default_tab&amp;search_scope=EVERYTHING&amp;vid=01CRU&amp;lang=en_US&amp;offset=0&amp;query=any,contains,991002152399702656","Catalog Record")</f>
        <v>Catalog Record</v>
      </c>
      <c r="AT1058" s="6" t="str">
        <f>HYPERLINK("http://www.worldcat.org/oclc/27727898","WorldCat Record")</f>
        <v>WorldCat Record</v>
      </c>
      <c r="AU1058" s="3" t="s">
        <v>13260</v>
      </c>
      <c r="AV1058" s="3" t="s">
        <v>13261</v>
      </c>
      <c r="AW1058" s="3" t="s">
        <v>13262</v>
      </c>
      <c r="AX1058" s="3" t="s">
        <v>13262</v>
      </c>
      <c r="AY1058" s="3" t="s">
        <v>13263</v>
      </c>
      <c r="AZ1058" s="3" t="s">
        <v>75</v>
      </c>
      <c r="BB1058" s="3" t="s">
        <v>13264</v>
      </c>
      <c r="BC1058" s="3" t="s">
        <v>13265</v>
      </c>
      <c r="BD1058" s="3" t="s">
        <v>13266</v>
      </c>
    </row>
    <row r="1059" spans="1:56" ht="39" customHeight="1" x14ac:dyDescent="0.25">
      <c r="A1059" s="7" t="s">
        <v>58</v>
      </c>
      <c r="B1059" s="2" t="s">
        <v>13267</v>
      </c>
      <c r="C1059" s="2" t="s">
        <v>13268</v>
      </c>
      <c r="D1059" s="2" t="s">
        <v>13269</v>
      </c>
      <c r="F1059" s="3" t="s">
        <v>58</v>
      </c>
      <c r="G1059" s="3" t="s">
        <v>59</v>
      </c>
      <c r="H1059" s="3" t="s">
        <v>58</v>
      </c>
      <c r="I1059" s="3" t="s">
        <v>58</v>
      </c>
      <c r="J1059" s="3" t="s">
        <v>60</v>
      </c>
      <c r="K1059" s="2" t="s">
        <v>13270</v>
      </c>
      <c r="L1059" s="2" t="s">
        <v>13271</v>
      </c>
      <c r="M1059" s="3" t="s">
        <v>439</v>
      </c>
      <c r="O1059" s="3" t="s">
        <v>65</v>
      </c>
      <c r="P1059" s="3" t="s">
        <v>274</v>
      </c>
      <c r="R1059" s="3" t="s">
        <v>68</v>
      </c>
      <c r="S1059" s="4">
        <v>2</v>
      </c>
      <c r="T1059" s="4">
        <v>2</v>
      </c>
      <c r="U1059" s="5" t="s">
        <v>13272</v>
      </c>
      <c r="V1059" s="5" t="s">
        <v>13272</v>
      </c>
      <c r="W1059" s="5" t="s">
        <v>12856</v>
      </c>
      <c r="X1059" s="5" t="s">
        <v>12856</v>
      </c>
      <c r="Y1059" s="4">
        <v>326</v>
      </c>
      <c r="Z1059" s="4">
        <v>280</v>
      </c>
      <c r="AA1059" s="4">
        <v>285</v>
      </c>
      <c r="AB1059" s="4">
        <v>4</v>
      </c>
      <c r="AC1059" s="4">
        <v>4</v>
      </c>
      <c r="AD1059" s="4">
        <v>24</v>
      </c>
      <c r="AE1059" s="4">
        <v>24</v>
      </c>
      <c r="AF1059" s="4">
        <v>8</v>
      </c>
      <c r="AG1059" s="4">
        <v>8</v>
      </c>
      <c r="AH1059" s="4">
        <v>5</v>
      </c>
      <c r="AI1059" s="4">
        <v>5</v>
      </c>
      <c r="AJ1059" s="4">
        <v>13</v>
      </c>
      <c r="AK1059" s="4">
        <v>13</v>
      </c>
      <c r="AL1059" s="4">
        <v>3</v>
      </c>
      <c r="AM1059" s="4">
        <v>3</v>
      </c>
      <c r="AN1059" s="4">
        <v>0</v>
      </c>
      <c r="AO1059" s="4">
        <v>0</v>
      </c>
      <c r="AP1059" s="3" t="s">
        <v>58</v>
      </c>
      <c r="AQ1059" s="3" t="s">
        <v>58</v>
      </c>
      <c r="AS1059" s="6" t="str">
        <f>HYPERLINK("https://creighton-primo.hosted.exlibrisgroup.com/primo-explore/search?tab=default_tab&amp;search_scope=EVERYTHING&amp;vid=01CRU&amp;lang=en_US&amp;offset=0&amp;query=any,contains,991004936979702656","Catalog Record")</f>
        <v>Catalog Record</v>
      </c>
      <c r="AT1059" s="6" t="str">
        <f>HYPERLINK("http://www.worldcat.org/oclc/6143877","WorldCat Record")</f>
        <v>WorldCat Record</v>
      </c>
      <c r="AU1059" s="3" t="s">
        <v>13273</v>
      </c>
      <c r="AV1059" s="3" t="s">
        <v>13274</v>
      </c>
      <c r="AW1059" s="3" t="s">
        <v>13275</v>
      </c>
      <c r="AX1059" s="3" t="s">
        <v>13275</v>
      </c>
      <c r="AY1059" s="3" t="s">
        <v>13276</v>
      </c>
      <c r="AZ1059" s="3" t="s">
        <v>75</v>
      </c>
      <c r="BB1059" s="3" t="s">
        <v>13277</v>
      </c>
      <c r="BC1059" s="3" t="s">
        <v>13278</v>
      </c>
      <c r="BD1059" s="3" t="s">
        <v>13279</v>
      </c>
    </row>
    <row r="1060" spans="1:56" ht="39" customHeight="1" x14ac:dyDescent="0.25">
      <c r="A1060" s="7" t="s">
        <v>58</v>
      </c>
      <c r="B1060" s="2" t="s">
        <v>13280</v>
      </c>
      <c r="C1060" s="2" t="s">
        <v>13281</v>
      </c>
      <c r="D1060" s="2" t="s">
        <v>13282</v>
      </c>
      <c r="F1060" s="3" t="s">
        <v>58</v>
      </c>
      <c r="G1060" s="3" t="s">
        <v>59</v>
      </c>
      <c r="H1060" s="3" t="s">
        <v>58</v>
      </c>
      <c r="I1060" s="3" t="s">
        <v>58</v>
      </c>
      <c r="J1060" s="3" t="s">
        <v>60</v>
      </c>
      <c r="K1060" s="2" t="s">
        <v>13283</v>
      </c>
      <c r="L1060" s="2" t="s">
        <v>13284</v>
      </c>
      <c r="M1060" s="3" t="s">
        <v>9612</v>
      </c>
      <c r="O1060" s="3" t="s">
        <v>65</v>
      </c>
      <c r="P1060" s="3" t="s">
        <v>201</v>
      </c>
      <c r="R1060" s="3" t="s">
        <v>68</v>
      </c>
      <c r="S1060" s="4">
        <v>1</v>
      </c>
      <c r="T1060" s="4">
        <v>1</v>
      </c>
      <c r="U1060" s="5" t="s">
        <v>10362</v>
      </c>
      <c r="V1060" s="5" t="s">
        <v>10362</v>
      </c>
      <c r="W1060" s="5" t="s">
        <v>10362</v>
      </c>
      <c r="X1060" s="5" t="s">
        <v>10362</v>
      </c>
      <c r="Y1060" s="4">
        <v>130</v>
      </c>
      <c r="Z1060" s="4">
        <v>110</v>
      </c>
      <c r="AA1060" s="4">
        <v>110</v>
      </c>
      <c r="AB1060" s="4">
        <v>1</v>
      </c>
      <c r="AC1060" s="4">
        <v>1</v>
      </c>
      <c r="AD1060" s="4">
        <v>12</v>
      </c>
      <c r="AE1060" s="4">
        <v>12</v>
      </c>
      <c r="AF1060" s="4">
        <v>3</v>
      </c>
      <c r="AG1060" s="4">
        <v>3</v>
      </c>
      <c r="AH1060" s="4">
        <v>4</v>
      </c>
      <c r="AI1060" s="4">
        <v>4</v>
      </c>
      <c r="AJ1060" s="4">
        <v>9</v>
      </c>
      <c r="AK1060" s="4">
        <v>9</v>
      </c>
      <c r="AL1060" s="4">
        <v>0</v>
      </c>
      <c r="AM1060" s="4">
        <v>0</v>
      </c>
      <c r="AN1060" s="4">
        <v>0</v>
      </c>
      <c r="AO1060" s="4">
        <v>0</v>
      </c>
      <c r="AP1060" s="3" t="s">
        <v>58</v>
      </c>
      <c r="AQ1060" s="3" t="s">
        <v>58</v>
      </c>
      <c r="AS1060" s="6" t="str">
        <f>HYPERLINK("https://creighton-primo.hosted.exlibrisgroup.com/primo-explore/search?tab=default_tab&amp;search_scope=EVERYTHING&amp;vid=01CRU&amp;lang=en_US&amp;offset=0&amp;query=any,contains,991005148449702656","Catalog Record")</f>
        <v>Catalog Record</v>
      </c>
      <c r="AT1060" s="6" t="str">
        <f>HYPERLINK("http://www.worldcat.org/oclc/65425851","WorldCat Record")</f>
        <v>WorldCat Record</v>
      </c>
      <c r="AU1060" s="3" t="s">
        <v>13285</v>
      </c>
      <c r="AV1060" s="3" t="s">
        <v>13286</v>
      </c>
      <c r="AW1060" s="3" t="s">
        <v>13287</v>
      </c>
      <c r="AX1060" s="3" t="s">
        <v>13287</v>
      </c>
      <c r="AY1060" s="3" t="s">
        <v>13288</v>
      </c>
      <c r="AZ1060" s="3" t="s">
        <v>75</v>
      </c>
      <c r="BB1060" s="3" t="s">
        <v>13289</v>
      </c>
      <c r="BC1060" s="3" t="s">
        <v>13290</v>
      </c>
      <c r="BD1060" s="3" t="s">
        <v>13291</v>
      </c>
    </row>
    <row r="1061" spans="1:56" ht="39" customHeight="1" x14ac:dyDescent="0.25">
      <c r="A1061" s="7" t="s">
        <v>58</v>
      </c>
      <c r="B1061" s="2" t="s">
        <v>13292</v>
      </c>
      <c r="C1061" s="2" t="s">
        <v>13293</v>
      </c>
      <c r="D1061" s="2" t="s">
        <v>13294</v>
      </c>
      <c r="F1061" s="3" t="s">
        <v>58</v>
      </c>
      <c r="G1061" s="3" t="s">
        <v>59</v>
      </c>
      <c r="H1061" s="3" t="s">
        <v>58</v>
      </c>
      <c r="I1061" s="3" t="s">
        <v>58</v>
      </c>
      <c r="J1061" s="3" t="s">
        <v>60</v>
      </c>
      <c r="K1061" s="2" t="s">
        <v>13295</v>
      </c>
      <c r="L1061" s="2" t="s">
        <v>13296</v>
      </c>
      <c r="M1061" s="3" t="s">
        <v>759</v>
      </c>
      <c r="O1061" s="3" t="s">
        <v>65</v>
      </c>
      <c r="P1061" s="3" t="s">
        <v>186</v>
      </c>
      <c r="R1061" s="3" t="s">
        <v>68</v>
      </c>
      <c r="S1061" s="4">
        <v>1</v>
      </c>
      <c r="T1061" s="4">
        <v>1</v>
      </c>
      <c r="U1061" s="5" t="s">
        <v>1519</v>
      </c>
      <c r="V1061" s="5" t="s">
        <v>1519</v>
      </c>
      <c r="W1061" s="5" t="s">
        <v>8224</v>
      </c>
      <c r="X1061" s="5" t="s">
        <v>8224</v>
      </c>
      <c r="Y1061" s="4">
        <v>192</v>
      </c>
      <c r="Z1061" s="4">
        <v>164</v>
      </c>
      <c r="AA1061" s="4">
        <v>170</v>
      </c>
      <c r="AB1061" s="4">
        <v>1</v>
      </c>
      <c r="AC1061" s="4">
        <v>1</v>
      </c>
      <c r="AD1061" s="4">
        <v>10</v>
      </c>
      <c r="AE1061" s="4">
        <v>10</v>
      </c>
      <c r="AF1061" s="4">
        <v>3</v>
      </c>
      <c r="AG1061" s="4">
        <v>3</v>
      </c>
      <c r="AH1061" s="4">
        <v>2</v>
      </c>
      <c r="AI1061" s="4">
        <v>2</v>
      </c>
      <c r="AJ1061" s="4">
        <v>8</v>
      </c>
      <c r="AK1061" s="4">
        <v>8</v>
      </c>
      <c r="AL1061" s="4">
        <v>0</v>
      </c>
      <c r="AM1061" s="4">
        <v>0</v>
      </c>
      <c r="AN1061" s="4">
        <v>0</v>
      </c>
      <c r="AO1061" s="4">
        <v>0</v>
      </c>
      <c r="AP1061" s="3" t="s">
        <v>58</v>
      </c>
      <c r="AQ1061" s="3" t="s">
        <v>58</v>
      </c>
      <c r="AS1061" s="6" t="str">
        <f>HYPERLINK("https://creighton-primo.hosted.exlibrisgroup.com/primo-explore/search?tab=default_tab&amp;search_scope=EVERYTHING&amp;vid=01CRU&amp;lang=en_US&amp;offset=0&amp;query=any,contains,991000957439702656","Catalog Record")</f>
        <v>Catalog Record</v>
      </c>
      <c r="AT1061" s="6" t="str">
        <f>HYPERLINK("http://www.worldcat.org/oclc/14719676","WorldCat Record")</f>
        <v>WorldCat Record</v>
      </c>
      <c r="AU1061" s="3" t="s">
        <v>13297</v>
      </c>
      <c r="AV1061" s="3" t="s">
        <v>13298</v>
      </c>
      <c r="AW1061" s="3" t="s">
        <v>13299</v>
      </c>
      <c r="AX1061" s="3" t="s">
        <v>13299</v>
      </c>
      <c r="AY1061" s="3" t="s">
        <v>13300</v>
      </c>
      <c r="AZ1061" s="3" t="s">
        <v>75</v>
      </c>
      <c r="BB1061" s="3" t="s">
        <v>13301</v>
      </c>
      <c r="BC1061" s="3" t="s">
        <v>13302</v>
      </c>
      <c r="BD1061" s="3" t="s">
        <v>13303</v>
      </c>
    </row>
    <row r="1062" spans="1:56" ht="39" customHeight="1" x14ac:dyDescent="0.25">
      <c r="A1062" s="7" t="s">
        <v>58</v>
      </c>
      <c r="B1062" s="2" t="s">
        <v>13304</v>
      </c>
      <c r="C1062" s="2" t="s">
        <v>13305</v>
      </c>
      <c r="D1062" s="2" t="s">
        <v>13306</v>
      </c>
      <c r="F1062" s="3" t="s">
        <v>58</v>
      </c>
      <c r="G1062" s="3" t="s">
        <v>59</v>
      </c>
      <c r="H1062" s="3" t="s">
        <v>58</v>
      </c>
      <c r="I1062" s="3" t="s">
        <v>58</v>
      </c>
      <c r="J1062" s="3" t="s">
        <v>60</v>
      </c>
      <c r="K1062" s="2" t="s">
        <v>13307</v>
      </c>
      <c r="L1062" s="2" t="s">
        <v>13308</v>
      </c>
      <c r="M1062" s="3" t="s">
        <v>185</v>
      </c>
      <c r="O1062" s="3" t="s">
        <v>65</v>
      </c>
      <c r="P1062" s="3" t="s">
        <v>3503</v>
      </c>
      <c r="R1062" s="3" t="s">
        <v>68</v>
      </c>
      <c r="S1062" s="4">
        <v>3</v>
      </c>
      <c r="T1062" s="4">
        <v>3</v>
      </c>
      <c r="U1062" s="5" t="s">
        <v>4972</v>
      </c>
      <c r="V1062" s="5" t="s">
        <v>4972</v>
      </c>
      <c r="W1062" s="5" t="s">
        <v>9360</v>
      </c>
      <c r="X1062" s="5" t="s">
        <v>9360</v>
      </c>
      <c r="Y1062" s="4">
        <v>61</v>
      </c>
      <c r="Z1062" s="4">
        <v>53</v>
      </c>
      <c r="AA1062" s="4">
        <v>59</v>
      </c>
      <c r="AB1062" s="4">
        <v>2</v>
      </c>
      <c r="AC1062" s="4">
        <v>2</v>
      </c>
      <c r="AD1062" s="4">
        <v>3</v>
      </c>
      <c r="AE1062" s="4">
        <v>3</v>
      </c>
      <c r="AF1062" s="4">
        <v>0</v>
      </c>
      <c r="AG1062" s="4">
        <v>0</v>
      </c>
      <c r="AH1062" s="4">
        <v>0</v>
      </c>
      <c r="AI1062" s="4">
        <v>0</v>
      </c>
      <c r="AJ1062" s="4">
        <v>3</v>
      </c>
      <c r="AK1062" s="4">
        <v>3</v>
      </c>
      <c r="AL1062" s="4">
        <v>0</v>
      </c>
      <c r="AM1062" s="4">
        <v>0</v>
      </c>
      <c r="AN1062" s="4">
        <v>0</v>
      </c>
      <c r="AO1062" s="4">
        <v>0</v>
      </c>
      <c r="AP1062" s="3" t="s">
        <v>58</v>
      </c>
      <c r="AQ1062" s="3" t="s">
        <v>132</v>
      </c>
      <c r="AR1062" s="6" t="str">
        <f>HYPERLINK("http://catalog.hathitrust.org/Record/007051122","HathiTrust Record")</f>
        <v>HathiTrust Record</v>
      </c>
      <c r="AS1062" s="6" t="str">
        <f>HYPERLINK("https://creighton-primo.hosted.exlibrisgroup.com/primo-explore/search?tab=default_tab&amp;search_scope=EVERYTHING&amp;vid=01CRU&amp;lang=en_US&amp;offset=0&amp;query=any,contains,991003527369702656","Catalog Record")</f>
        <v>Catalog Record</v>
      </c>
      <c r="AT1062" s="6" t="str">
        <f>HYPERLINK("http://www.worldcat.org/oclc/46354634","WorldCat Record")</f>
        <v>WorldCat Record</v>
      </c>
      <c r="AU1062" s="3" t="s">
        <v>13309</v>
      </c>
      <c r="AV1062" s="3" t="s">
        <v>13310</v>
      </c>
      <c r="AW1062" s="3" t="s">
        <v>13311</v>
      </c>
      <c r="AX1062" s="3" t="s">
        <v>13311</v>
      </c>
      <c r="AY1062" s="3" t="s">
        <v>13312</v>
      </c>
      <c r="AZ1062" s="3" t="s">
        <v>75</v>
      </c>
      <c r="BB1062" s="3" t="s">
        <v>13313</v>
      </c>
      <c r="BC1062" s="3" t="s">
        <v>13314</v>
      </c>
      <c r="BD1062" s="3" t="s">
        <v>13315</v>
      </c>
    </row>
    <row r="1063" spans="1:56" ht="39" customHeight="1" x14ac:dyDescent="0.25">
      <c r="A1063" s="7" t="s">
        <v>58</v>
      </c>
      <c r="B1063" s="2" t="s">
        <v>13316</v>
      </c>
      <c r="C1063" s="2" t="s">
        <v>13317</v>
      </c>
      <c r="D1063" s="2" t="s">
        <v>13318</v>
      </c>
      <c r="F1063" s="3" t="s">
        <v>58</v>
      </c>
      <c r="G1063" s="3" t="s">
        <v>59</v>
      </c>
      <c r="H1063" s="3" t="s">
        <v>58</v>
      </c>
      <c r="I1063" s="3" t="s">
        <v>58</v>
      </c>
      <c r="J1063" s="3" t="s">
        <v>60</v>
      </c>
      <c r="K1063" s="2" t="s">
        <v>13319</v>
      </c>
      <c r="L1063" s="2" t="s">
        <v>13320</v>
      </c>
      <c r="M1063" s="3" t="s">
        <v>462</v>
      </c>
      <c r="O1063" s="3" t="s">
        <v>65</v>
      </c>
      <c r="P1063" s="3" t="s">
        <v>201</v>
      </c>
      <c r="R1063" s="3" t="s">
        <v>68</v>
      </c>
      <c r="S1063" s="4">
        <v>3</v>
      </c>
      <c r="T1063" s="4">
        <v>3</v>
      </c>
      <c r="U1063" s="5" t="s">
        <v>13321</v>
      </c>
      <c r="V1063" s="5" t="s">
        <v>13321</v>
      </c>
      <c r="W1063" s="5" t="s">
        <v>12856</v>
      </c>
      <c r="X1063" s="5" t="s">
        <v>12856</v>
      </c>
      <c r="Y1063" s="4">
        <v>179</v>
      </c>
      <c r="Z1063" s="4">
        <v>165</v>
      </c>
      <c r="AA1063" s="4">
        <v>167</v>
      </c>
      <c r="AB1063" s="4">
        <v>2</v>
      </c>
      <c r="AC1063" s="4">
        <v>2</v>
      </c>
      <c r="AD1063" s="4">
        <v>5</v>
      </c>
      <c r="AE1063" s="4">
        <v>5</v>
      </c>
      <c r="AF1063" s="4">
        <v>0</v>
      </c>
      <c r="AG1063" s="4">
        <v>0</v>
      </c>
      <c r="AH1063" s="4">
        <v>0</v>
      </c>
      <c r="AI1063" s="4">
        <v>0</v>
      </c>
      <c r="AJ1063" s="4">
        <v>4</v>
      </c>
      <c r="AK1063" s="4">
        <v>4</v>
      </c>
      <c r="AL1063" s="4">
        <v>1</v>
      </c>
      <c r="AM1063" s="4">
        <v>1</v>
      </c>
      <c r="AN1063" s="4">
        <v>0</v>
      </c>
      <c r="AO1063" s="4">
        <v>0</v>
      </c>
      <c r="AP1063" s="3" t="s">
        <v>58</v>
      </c>
      <c r="AQ1063" s="3" t="s">
        <v>132</v>
      </c>
      <c r="AR1063" s="6" t="str">
        <f>HYPERLINK("http://catalog.hathitrust.org/Record/000409579","HathiTrust Record")</f>
        <v>HathiTrust Record</v>
      </c>
      <c r="AS1063" s="6" t="str">
        <f>HYPERLINK("https://creighton-primo.hosted.exlibrisgroup.com/primo-explore/search?tab=default_tab&amp;search_scope=EVERYTHING&amp;vid=01CRU&amp;lang=en_US&amp;offset=0&amp;query=any,contains,991000535189702656","Catalog Record")</f>
        <v>Catalog Record</v>
      </c>
      <c r="AT1063" s="6" t="str">
        <f>HYPERLINK("http://www.worldcat.org/oclc/11444108","WorldCat Record")</f>
        <v>WorldCat Record</v>
      </c>
      <c r="AU1063" s="3" t="s">
        <v>13322</v>
      </c>
      <c r="AV1063" s="3" t="s">
        <v>13323</v>
      </c>
      <c r="AW1063" s="3" t="s">
        <v>13324</v>
      </c>
      <c r="AX1063" s="3" t="s">
        <v>13324</v>
      </c>
      <c r="AY1063" s="3" t="s">
        <v>13325</v>
      </c>
      <c r="AZ1063" s="3" t="s">
        <v>75</v>
      </c>
      <c r="BB1063" s="3" t="s">
        <v>13326</v>
      </c>
      <c r="BC1063" s="3" t="s">
        <v>13327</v>
      </c>
      <c r="BD1063" s="3" t="s">
        <v>13328</v>
      </c>
    </row>
    <row r="1064" spans="1:56" ht="39" customHeight="1" x14ac:dyDescent="0.25">
      <c r="A1064" s="7" t="s">
        <v>58</v>
      </c>
      <c r="B1064" s="2" t="s">
        <v>13329</v>
      </c>
      <c r="C1064" s="2" t="s">
        <v>13330</v>
      </c>
      <c r="D1064" s="2" t="s">
        <v>13331</v>
      </c>
      <c r="F1064" s="3" t="s">
        <v>58</v>
      </c>
      <c r="G1064" s="3" t="s">
        <v>59</v>
      </c>
      <c r="H1064" s="3" t="s">
        <v>58</v>
      </c>
      <c r="I1064" s="3" t="s">
        <v>58</v>
      </c>
      <c r="J1064" s="3" t="s">
        <v>60</v>
      </c>
      <c r="K1064" s="2" t="s">
        <v>13332</v>
      </c>
      <c r="L1064" s="2" t="s">
        <v>13333</v>
      </c>
      <c r="M1064" s="3" t="s">
        <v>462</v>
      </c>
      <c r="O1064" s="3" t="s">
        <v>65</v>
      </c>
      <c r="P1064" s="3" t="s">
        <v>1358</v>
      </c>
      <c r="R1064" s="3" t="s">
        <v>68</v>
      </c>
      <c r="S1064" s="4">
        <v>3</v>
      </c>
      <c r="T1064" s="4">
        <v>3</v>
      </c>
      <c r="U1064" s="5" t="s">
        <v>9465</v>
      </c>
      <c r="V1064" s="5" t="s">
        <v>9465</v>
      </c>
      <c r="W1064" s="5" t="s">
        <v>12856</v>
      </c>
      <c r="X1064" s="5" t="s">
        <v>12856</v>
      </c>
      <c r="Y1064" s="4">
        <v>289</v>
      </c>
      <c r="Z1064" s="4">
        <v>254</v>
      </c>
      <c r="AA1064" s="4">
        <v>261</v>
      </c>
      <c r="AB1064" s="4">
        <v>3</v>
      </c>
      <c r="AC1064" s="4">
        <v>3</v>
      </c>
      <c r="AD1064" s="4">
        <v>10</v>
      </c>
      <c r="AE1064" s="4">
        <v>10</v>
      </c>
      <c r="AF1064" s="4">
        <v>2</v>
      </c>
      <c r="AG1064" s="4">
        <v>2</v>
      </c>
      <c r="AH1064" s="4">
        <v>1</v>
      </c>
      <c r="AI1064" s="4">
        <v>1</v>
      </c>
      <c r="AJ1064" s="4">
        <v>6</v>
      </c>
      <c r="AK1064" s="4">
        <v>6</v>
      </c>
      <c r="AL1064" s="4">
        <v>2</v>
      </c>
      <c r="AM1064" s="4">
        <v>2</v>
      </c>
      <c r="AN1064" s="4">
        <v>0</v>
      </c>
      <c r="AO1064" s="4">
        <v>0</v>
      </c>
      <c r="AP1064" s="3" t="s">
        <v>58</v>
      </c>
      <c r="AQ1064" s="3" t="s">
        <v>132</v>
      </c>
      <c r="AR1064" s="6" t="str">
        <f>HYPERLINK("http://catalog.hathitrust.org/Record/000604278","HathiTrust Record")</f>
        <v>HathiTrust Record</v>
      </c>
      <c r="AS1064" s="6" t="str">
        <f>HYPERLINK("https://creighton-primo.hosted.exlibrisgroup.com/primo-explore/search?tab=default_tab&amp;search_scope=EVERYTHING&amp;vid=01CRU&amp;lang=en_US&amp;offset=0&amp;query=any,contains,991000493379702656","Catalog Record")</f>
        <v>Catalog Record</v>
      </c>
      <c r="AT1064" s="6" t="str">
        <f>HYPERLINK("http://www.worldcat.org/oclc/11114642","WorldCat Record")</f>
        <v>WorldCat Record</v>
      </c>
      <c r="AU1064" s="3" t="s">
        <v>13334</v>
      </c>
      <c r="AV1064" s="3" t="s">
        <v>13335</v>
      </c>
      <c r="AW1064" s="3" t="s">
        <v>13336</v>
      </c>
      <c r="AX1064" s="3" t="s">
        <v>13336</v>
      </c>
      <c r="AY1064" s="3" t="s">
        <v>13337</v>
      </c>
      <c r="AZ1064" s="3" t="s">
        <v>75</v>
      </c>
      <c r="BB1064" s="3" t="s">
        <v>13338</v>
      </c>
      <c r="BC1064" s="3" t="s">
        <v>13339</v>
      </c>
      <c r="BD1064" s="3" t="s">
        <v>13340</v>
      </c>
    </row>
    <row r="1065" spans="1:56" ht="39" customHeight="1" x14ac:dyDescent="0.25">
      <c r="A1065" s="7" t="s">
        <v>58</v>
      </c>
      <c r="B1065" s="2" t="s">
        <v>13341</v>
      </c>
      <c r="C1065" s="2" t="s">
        <v>13342</v>
      </c>
      <c r="D1065" s="2" t="s">
        <v>13343</v>
      </c>
      <c r="F1065" s="3" t="s">
        <v>58</v>
      </c>
      <c r="G1065" s="3" t="s">
        <v>59</v>
      </c>
      <c r="H1065" s="3" t="s">
        <v>58</v>
      </c>
      <c r="I1065" s="3" t="s">
        <v>58</v>
      </c>
      <c r="J1065" s="3" t="s">
        <v>60</v>
      </c>
      <c r="L1065" s="2" t="s">
        <v>13344</v>
      </c>
      <c r="M1065" s="3" t="s">
        <v>1046</v>
      </c>
      <c r="O1065" s="3" t="s">
        <v>65</v>
      </c>
      <c r="P1065" s="3" t="s">
        <v>113</v>
      </c>
      <c r="Q1065" s="2" t="s">
        <v>13345</v>
      </c>
      <c r="R1065" s="3" t="s">
        <v>68</v>
      </c>
      <c r="S1065" s="4">
        <v>1</v>
      </c>
      <c r="T1065" s="4">
        <v>1</v>
      </c>
      <c r="U1065" s="5" t="s">
        <v>13321</v>
      </c>
      <c r="V1065" s="5" t="s">
        <v>13321</v>
      </c>
      <c r="W1065" s="5" t="s">
        <v>12856</v>
      </c>
      <c r="X1065" s="5" t="s">
        <v>12856</v>
      </c>
      <c r="Y1065" s="4">
        <v>81</v>
      </c>
      <c r="Z1065" s="4">
        <v>78</v>
      </c>
      <c r="AA1065" s="4">
        <v>78</v>
      </c>
      <c r="AB1065" s="4">
        <v>1</v>
      </c>
      <c r="AC1065" s="4">
        <v>1</v>
      </c>
      <c r="AD1065" s="4">
        <v>13</v>
      </c>
      <c r="AE1065" s="4">
        <v>13</v>
      </c>
      <c r="AF1065" s="4">
        <v>3</v>
      </c>
      <c r="AG1065" s="4">
        <v>3</v>
      </c>
      <c r="AH1065" s="4">
        <v>2</v>
      </c>
      <c r="AI1065" s="4">
        <v>2</v>
      </c>
      <c r="AJ1065" s="4">
        <v>12</v>
      </c>
      <c r="AK1065" s="4">
        <v>12</v>
      </c>
      <c r="AL1065" s="4">
        <v>0</v>
      </c>
      <c r="AM1065" s="4">
        <v>0</v>
      </c>
      <c r="AN1065" s="4">
        <v>0</v>
      </c>
      <c r="AO1065" s="4">
        <v>0</v>
      </c>
      <c r="AP1065" s="3" t="s">
        <v>58</v>
      </c>
      <c r="AQ1065" s="3" t="s">
        <v>58</v>
      </c>
      <c r="AS1065" s="6" t="str">
        <f>HYPERLINK("https://creighton-primo.hosted.exlibrisgroup.com/primo-explore/search?tab=default_tab&amp;search_scope=EVERYTHING&amp;vid=01CRU&amp;lang=en_US&amp;offset=0&amp;query=any,contains,991000974099702656","Catalog Record")</f>
        <v>Catalog Record</v>
      </c>
      <c r="AT1065" s="6" t="str">
        <f>HYPERLINK("http://www.worldcat.org/oclc/14984914","WorldCat Record")</f>
        <v>WorldCat Record</v>
      </c>
      <c r="AU1065" s="3" t="s">
        <v>13346</v>
      </c>
      <c r="AV1065" s="3" t="s">
        <v>13347</v>
      </c>
      <c r="AW1065" s="3" t="s">
        <v>13348</v>
      </c>
      <c r="AX1065" s="3" t="s">
        <v>13348</v>
      </c>
      <c r="AY1065" s="3" t="s">
        <v>13349</v>
      </c>
      <c r="AZ1065" s="3" t="s">
        <v>75</v>
      </c>
      <c r="BC1065" s="3" t="s">
        <v>13350</v>
      </c>
      <c r="BD1065" s="3" t="s">
        <v>13351</v>
      </c>
    </row>
    <row r="1066" spans="1:56" ht="39" customHeight="1" x14ac:dyDescent="0.25">
      <c r="A1066" s="7" t="s">
        <v>58</v>
      </c>
      <c r="B1066" s="2" t="s">
        <v>13352</v>
      </c>
      <c r="C1066" s="2" t="s">
        <v>13353</v>
      </c>
      <c r="D1066" s="2" t="s">
        <v>13354</v>
      </c>
      <c r="F1066" s="3" t="s">
        <v>58</v>
      </c>
      <c r="G1066" s="3" t="s">
        <v>59</v>
      </c>
      <c r="H1066" s="3" t="s">
        <v>58</v>
      </c>
      <c r="I1066" s="3" t="s">
        <v>58</v>
      </c>
      <c r="J1066" s="3" t="s">
        <v>60</v>
      </c>
      <c r="K1066" s="2" t="s">
        <v>13355</v>
      </c>
      <c r="L1066" s="2" t="s">
        <v>13356</v>
      </c>
      <c r="M1066" s="3" t="s">
        <v>427</v>
      </c>
      <c r="O1066" s="3" t="s">
        <v>65</v>
      </c>
      <c r="P1066" s="3" t="s">
        <v>346</v>
      </c>
      <c r="R1066" s="3" t="s">
        <v>68</v>
      </c>
      <c r="S1066" s="4">
        <v>2</v>
      </c>
      <c r="T1066" s="4">
        <v>2</v>
      </c>
      <c r="U1066" s="5" t="s">
        <v>13357</v>
      </c>
      <c r="V1066" s="5" t="s">
        <v>13357</v>
      </c>
      <c r="W1066" s="5" t="s">
        <v>13358</v>
      </c>
      <c r="X1066" s="5" t="s">
        <v>13358</v>
      </c>
      <c r="Y1066" s="4">
        <v>369</v>
      </c>
      <c r="Z1066" s="4">
        <v>339</v>
      </c>
      <c r="AA1066" s="4">
        <v>341</v>
      </c>
      <c r="AB1066" s="4">
        <v>3</v>
      </c>
      <c r="AC1066" s="4">
        <v>3</v>
      </c>
      <c r="AD1066" s="4">
        <v>10</v>
      </c>
      <c r="AE1066" s="4">
        <v>10</v>
      </c>
      <c r="AF1066" s="4">
        <v>4</v>
      </c>
      <c r="AG1066" s="4">
        <v>4</v>
      </c>
      <c r="AH1066" s="4">
        <v>0</v>
      </c>
      <c r="AI1066" s="4">
        <v>0</v>
      </c>
      <c r="AJ1066" s="4">
        <v>4</v>
      </c>
      <c r="AK1066" s="4">
        <v>4</v>
      </c>
      <c r="AL1066" s="4">
        <v>2</v>
      </c>
      <c r="AM1066" s="4">
        <v>2</v>
      </c>
      <c r="AN1066" s="4">
        <v>0</v>
      </c>
      <c r="AO1066" s="4">
        <v>0</v>
      </c>
      <c r="AP1066" s="3" t="s">
        <v>58</v>
      </c>
      <c r="AQ1066" s="3" t="s">
        <v>132</v>
      </c>
      <c r="AR1066" s="6" t="str">
        <f>HYPERLINK("http://catalog.hathitrust.org/Record/101992472","HathiTrust Record")</f>
        <v>HathiTrust Record</v>
      </c>
      <c r="AS1066" s="6" t="str">
        <f>HYPERLINK("https://creighton-primo.hosted.exlibrisgroup.com/primo-explore/search?tab=default_tab&amp;search_scope=EVERYTHING&amp;vid=01CRU&amp;lang=en_US&amp;offset=0&amp;query=any,contains,991004686279702656","Catalog Record")</f>
        <v>Catalog Record</v>
      </c>
      <c r="AT1066" s="6" t="str">
        <f>HYPERLINK("http://www.worldcat.org/oclc/4593116","WorldCat Record")</f>
        <v>WorldCat Record</v>
      </c>
      <c r="AU1066" s="3" t="s">
        <v>13359</v>
      </c>
      <c r="AV1066" s="3" t="s">
        <v>13360</v>
      </c>
      <c r="AW1066" s="3" t="s">
        <v>13361</v>
      </c>
      <c r="AX1066" s="3" t="s">
        <v>13361</v>
      </c>
      <c r="AY1066" s="3" t="s">
        <v>13362</v>
      </c>
      <c r="AZ1066" s="3" t="s">
        <v>75</v>
      </c>
      <c r="BB1066" s="3" t="s">
        <v>13363</v>
      </c>
      <c r="BC1066" s="3" t="s">
        <v>13364</v>
      </c>
      <c r="BD1066" s="3" t="s">
        <v>13365</v>
      </c>
    </row>
    <row r="1067" spans="1:56" ht="39" customHeight="1" x14ac:dyDescent="0.25">
      <c r="A1067" s="7" t="s">
        <v>58</v>
      </c>
      <c r="B1067" s="2" t="s">
        <v>13366</v>
      </c>
      <c r="C1067" s="2" t="s">
        <v>13367</v>
      </c>
      <c r="D1067" s="2" t="s">
        <v>13368</v>
      </c>
      <c r="F1067" s="3" t="s">
        <v>58</v>
      </c>
      <c r="G1067" s="3" t="s">
        <v>59</v>
      </c>
      <c r="H1067" s="3" t="s">
        <v>58</v>
      </c>
      <c r="I1067" s="3" t="s">
        <v>58</v>
      </c>
      <c r="J1067" s="3" t="s">
        <v>60</v>
      </c>
      <c r="K1067" s="2" t="s">
        <v>13369</v>
      </c>
      <c r="L1067" s="2" t="s">
        <v>13370</v>
      </c>
      <c r="M1067" s="3" t="s">
        <v>374</v>
      </c>
      <c r="O1067" s="3" t="s">
        <v>65</v>
      </c>
      <c r="P1067" s="3" t="s">
        <v>1246</v>
      </c>
      <c r="Q1067" s="2" t="s">
        <v>13371</v>
      </c>
      <c r="R1067" s="3" t="s">
        <v>68</v>
      </c>
      <c r="S1067" s="4">
        <v>2</v>
      </c>
      <c r="T1067" s="4">
        <v>2</v>
      </c>
      <c r="U1067" s="5" t="s">
        <v>13372</v>
      </c>
      <c r="V1067" s="5" t="s">
        <v>13372</v>
      </c>
      <c r="W1067" s="5" t="s">
        <v>6956</v>
      </c>
      <c r="X1067" s="5" t="s">
        <v>6956</v>
      </c>
      <c r="Y1067" s="4">
        <v>273</v>
      </c>
      <c r="Z1067" s="4">
        <v>224</v>
      </c>
      <c r="AA1067" s="4">
        <v>226</v>
      </c>
      <c r="AB1067" s="4">
        <v>3</v>
      </c>
      <c r="AC1067" s="4">
        <v>3</v>
      </c>
      <c r="AD1067" s="4">
        <v>23</v>
      </c>
      <c r="AE1067" s="4">
        <v>23</v>
      </c>
      <c r="AF1067" s="4">
        <v>8</v>
      </c>
      <c r="AG1067" s="4">
        <v>8</v>
      </c>
      <c r="AH1067" s="4">
        <v>5</v>
      </c>
      <c r="AI1067" s="4">
        <v>5</v>
      </c>
      <c r="AJ1067" s="4">
        <v>15</v>
      </c>
      <c r="AK1067" s="4">
        <v>15</v>
      </c>
      <c r="AL1067" s="4">
        <v>2</v>
      </c>
      <c r="AM1067" s="4">
        <v>2</v>
      </c>
      <c r="AN1067" s="4">
        <v>0</v>
      </c>
      <c r="AO1067" s="4">
        <v>0</v>
      </c>
      <c r="AP1067" s="3" t="s">
        <v>58</v>
      </c>
      <c r="AQ1067" s="3" t="s">
        <v>132</v>
      </c>
      <c r="AR1067" s="6" t="str">
        <f>HYPERLINK("http://catalog.hathitrust.org/Record/002952637","HathiTrust Record")</f>
        <v>HathiTrust Record</v>
      </c>
      <c r="AS1067" s="6" t="str">
        <f>HYPERLINK("https://creighton-primo.hosted.exlibrisgroup.com/primo-explore/search?tab=default_tab&amp;search_scope=EVERYTHING&amp;vid=01CRU&amp;lang=en_US&amp;offset=0&amp;query=any,contains,991002373689702656","Catalog Record")</f>
        <v>Catalog Record</v>
      </c>
      <c r="AT1067" s="6" t="str">
        <f>HYPERLINK("http://www.worldcat.org/oclc/30892540","WorldCat Record")</f>
        <v>WorldCat Record</v>
      </c>
      <c r="AU1067" s="3" t="s">
        <v>13373</v>
      </c>
      <c r="AV1067" s="3" t="s">
        <v>13374</v>
      </c>
      <c r="AW1067" s="3" t="s">
        <v>13375</v>
      </c>
      <c r="AX1067" s="3" t="s">
        <v>13375</v>
      </c>
      <c r="AY1067" s="3" t="s">
        <v>13376</v>
      </c>
      <c r="AZ1067" s="3" t="s">
        <v>75</v>
      </c>
      <c r="BB1067" s="3" t="s">
        <v>13377</v>
      </c>
      <c r="BC1067" s="3" t="s">
        <v>13378</v>
      </c>
      <c r="BD1067" s="3" t="s">
        <v>13379</v>
      </c>
    </row>
    <row r="1068" spans="1:56" ht="39" customHeight="1" x14ac:dyDescent="0.25">
      <c r="A1068" s="7" t="s">
        <v>58</v>
      </c>
      <c r="B1068" s="2" t="s">
        <v>13380</v>
      </c>
      <c r="C1068" s="2" t="s">
        <v>13381</v>
      </c>
      <c r="D1068" s="2" t="s">
        <v>13382</v>
      </c>
      <c r="F1068" s="3" t="s">
        <v>58</v>
      </c>
      <c r="G1068" s="3" t="s">
        <v>59</v>
      </c>
      <c r="H1068" s="3" t="s">
        <v>58</v>
      </c>
      <c r="I1068" s="3" t="s">
        <v>58</v>
      </c>
      <c r="J1068" s="3" t="s">
        <v>60</v>
      </c>
      <c r="K1068" s="2" t="s">
        <v>13383</v>
      </c>
      <c r="L1068" s="2" t="s">
        <v>13384</v>
      </c>
      <c r="M1068" s="3" t="s">
        <v>845</v>
      </c>
      <c r="O1068" s="3" t="s">
        <v>65</v>
      </c>
      <c r="P1068" s="3" t="s">
        <v>186</v>
      </c>
      <c r="Q1068" s="2" t="s">
        <v>13385</v>
      </c>
      <c r="R1068" s="3" t="s">
        <v>68</v>
      </c>
      <c r="S1068" s="4">
        <v>3</v>
      </c>
      <c r="T1068" s="4">
        <v>3</v>
      </c>
      <c r="U1068" s="5" t="s">
        <v>13357</v>
      </c>
      <c r="V1068" s="5" t="s">
        <v>13357</v>
      </c>
      <c r="W1068" s="5" t="s">
        <v>12856</v>
      </c>
      <c r="X1068" s="5" t="s">
        <v>12856</v>
      </c>
      <c r="Y1068" s="4">
        <v>543</v>
      </c>
      <c r="Z1068" s="4">
        <v>489</v>
      </c>
      <c r="AA1068" s="4">
        <v>496</v>
      </c>
      <c r="AB1068" s="4">
        <v>5</v>
      </c>
      <c r="AC1068" s="4">
        <v>5</v>
      </c>
      <c r="AD1068" s="4">
        <v>29</v>
      </c>
      <c r="AE1068" s="4">
        <v>29</v>
      </c>
      <c r="AF1068" s="4">
        <v>13</v>
      </c>
      <c r="AG1068" s="4">
        <v>13</v>
      </c>
      <c r="AH1068" s="4">
        <v>5</v>
      </c>
      <c r="AI1068" s="4">
        <v>5</v>
      </c>
      <c r="AJ1068" s="4">
        <v>14</v>
      </c>
      <c r="AK1068" s="4">
        <v>14</v>
      </c>
      <c r="AL1068" s="4">
        <v>4</v>
      </c>
      <c r="AM1068" s="4">
        <v>4</v>
      </c>
      <c r="AN1068" s="4">
        <v>0</v>
      </c>
      <c r="AO1068" s="4">
        <v>0</v>
      </c>
      <c r="AP1068" s="3" t="s">
        <v>58</v>
      </c>
      <c r="AQ1068" s="3" t="s">
        <v>132</v>
      </c>
      <c r="AR1068" s="6" t="str">
        <f>HYPERLINK("http://catalog.hathitrust.org/Record/007470245","HathiTrust Record")</f>
        <v>HathiTrust Record</v>
      </c>
      <c r="AS1068" s="6" t="str">
        <f>HYPERLINK("https://creighton-primo.hosted.exlibrisgroup.com/primo-explore/search?tab=default_tab&amp;search_scope=EVERYTHING&amp;vid=01CRU&amp;lang=en_US&amp;offset=0&amp;query=any,contains,991000001979702656","Catalog Record")</f>
        <v>Catalog Record</v>
      </c>
      <c r="AT1068" s="6" t="str">
        <f>HYPERLINK("http://www.worldcat.org/oclc/10830","WorldCat Record")</f>
        <v>WorldCat Record</v>
      </c>
      <c r="AU1068" s="3" t="s">
        <v>13386</v>
      </c>
      <c r="AV1068" s="3" t="s">
        <v>13387</v>
      </c>
      <c r="AW1068" s="3" t="s">
        <v>13388</v>
      </c>
      <c r="AX1068" s="3" t="s">
        <v>13388</v>
      </c>
      <c r="AY1068" s="3" t="s">
        <v>13389</v>
      </c>
      <c r="AZ1068" s="3" t="s">
        <v>75</v>
      </c>
      <c r="BB1068" s="3" t="s">
        <v>13390</v>
      </c>
      <c r="BC1068" s="3" t="s">
        <v>13391</v>
      </c>
      <c r="BD1068" s="3" t="s">
        <v>13392</v>
      </c>
    </row>
    <row r="1069" spans="1:56" ht="39" customHeight="1" x14ac:dyDescent="0.25">
      <c r="A1069" s="7" t="s">
        <v>58</v>
      </c>
      <c r="B1069" s="2" t="s">
        <v>13393</v>
      </c>
      <c r="C1069" s="2" t="s">
        <v>13394</v>
      </c>
      <c r="D1069" s="2" t="s">
        <v>13395</v>
      </c>
      <c r="F1069" s="3" t="s">
        <v>58</v>
      </c>
      <c r="G1069" s="3" t="s">
        <v>59</v>
      </c>
      <c r="H1069" s="3" t="s">
        <v>58</v>
      </c>
      <c r="I1069" s="3" t="s">
        <v>58</v>
      </c>
      <c r="J1069" s="3" t="s">
        <v>60</v>
      </c>
      <c r="K1069" s="2" t="s">
        <v>13396</v>
      </c>
      <c r="L1069" s="2" t="s">
        <v>13397</v>
      </c>
      <c r="M1069" s="3" t="s">
        <v>215</v>
      </c>
      <c r="N1069" s="2" t="s">
        <v>7006</v>
      </c>
      <c r="O1069" s="3" t="s">
        <v>65</v>
      </c>
      <c r="P1069" s="3" t="s">
        <v>1246</v>
      </c>
      <c r="R1069" s="3" t="s">
        <v>68</v>
      </c>
      <c r="S1069" s="4">
        <v>5</v>
      </c>
      <c r="T1069" s="4">
        <v>5</v>
      </c>
      <c r="U1069" s="5" t="s">
        <v>13398</v>
      </c>
      <c r="V1069" s="5" t="s">
        <v>13398</v>
      </c>
      <c r="W1069" s="5" t="s">
        <v>8224</v>
      </c>
      <c r="X1069" s="5" t="s">
        <v>8224</v>
      </c>
      <c r="Y1069" s="4">
        <v>112</v>
      </c>
      <c r="Z1069" s="4">
        <v>108</v>
      </c>
      <c r="AA1069" s="4">
        <v>262</v>
      </c>
      <c r="AB1069" s="4">
        <v>2</v>
      </c>
      <c r="AC1069" s="4">
        <v>5</v>
      </c>
      <c r="AD1069" s="4">
        <v>7</v>
      </c>
      <c r="AE1069" s="4">
        <v>14</v>
      </c>
      <c r="AF1069" s="4">
        <v>3</v>
      </c>
      <c r="AG1069" s="4">
        <v>4</v>
      </c>
      <c r="AH1069" s="4">
        <v>0</v>
      </c>
      <c r="AI1069" s="4">
        <v>1</v>
      </c>
      <c r="AJ1069" s="4">
        <v>3</v>
      </c>
      <c r="AK1069" s="4">
        <v>7</v>
      </c>
      <c r="AL1069" s="4">
        <v>1</v>
      </c>
      <c r="AM1069" s="4">
        <v>4</v>
      </c>
      <c r="AN1069" s="4">
        <v>0</v>
      </c>
      <c r="AO1069" s="4">
        <v>0</v>
      </c>
      <c r="AP1069" s="3" t="s">
        <v>58</v>
      </c>
      <c r="AQ1069" s="3" t="s">
        <v>132</v>
      </c>
      <c r="AR1069" s="6" t="str">
        <f>HYPERLINK("http://catalog.hathitrust.org/Record/009919684","HathiTrust Record")</f>
        <v>HathiTrust Record</v>
      </c>
      <c r="AS1069" s="6" t="str">
        <f>HYPERLINK("https://creighton-primo.hosted.exlibrisgroup.com/primo-explore/search?tab=default_tab&amp;search_scope=EVERYTHING&amp;vid=01CRU&amp;lang=en_US&amp;offset=0&amp;query=any,contains,991001066889702656","Catalog Record")</f>
        <v>Catalog Record</v>
      </c>
      <c r="AT1069" s="6" t="str">
        <f>HYPERLINK("http://www.worldcat.org/oclc/15795293","WorldCat Record")</f>
        <v>WorldCat Record</v>
      </c>
      <c r="AU1069" s="3" t="s">
        <v>13399</v>
      </c>
      <c r="AV1069" s="3" t="s">
        <v>13400</v>
      </c>
      <c r="AW1069" s="3" t="s">
        <v>13401</v>
      </c>
      <c r="AX1069" s="3" t="s">
        <v>13401</v>
      </c>
      <c r="AY1069" s="3" t="s">
        <v>13402</v>
      </c>
      <c r="AZ1069" s="3" t="s">
        <v>75</v>
      </c>
      <c r="BB1069" s="3" t="s">
        <v>13403</v>
      </c>
      <c r="BC1069" s="3" t="s">
        <v>13404</v>
      </c>
      <c r="BD1069" s="3" t="s">
        <v>13405</v>
      </c>
    </row>
    <row r="1070" spans="1:56" ht="39" customHeight="1" x14ac:dyDescent="0.25">
      <c r="A1070" s="7" t="s">
        <v>58</v>
      </c>
      <c r="B1070" s="2" t="s">
        <v>13406</v>
      </c>
      <c r="C1070" s="2" t="s">
        <v>13407</v>
      </c>
      <c r="D1070" s="2" t="s">
        <v>13408</v>
      </c>
      <c r="F1070" s="3" t="s">
        <v>58</v>
      </c>
      <c r="G1070" s="3" t="s">
        <v>59</v>
      </c>
      <c r="H1070" s="3" t="s">
        <v>58</v>
      </c>
      <c r="I1070" s="3" t="s">
        <v>58</v>
      </c>
      <c r="J1070" s="3" t="s">
        <v>60</v>
      </c>
      <c r="K1070" s="2" t="s">
        <v>13409</v>
      </c>
      <c r="L1070" s="2" t="s">
        <v>13410</v>
      </c>
      <c r="M1070" s="3" t="s">
        <v>759</v>
      </c>
      <c r="O1070" s="3" t="s">
        <v>65</v>
      </c>
      <c r="P1070" s="3" t="s">
        <v>477</v>
      </c>
      <c r="Q1070" s="2" t="s">
        <v>13411</v>
      </c>
      <c r="R1070" s="3" t="s">
        <v>68</v>
      </c>
      <c r="S1070" s="4">
        <v>6</v>
      </c>
      <c r="T1070" s="4">
        <v>6</v>
      </c>
      <c r="U1070" s="5" t="s">
        <v>9465</v>
      </c>
      <c r="V1070" s="5" t="s">
        <v>9465</v>
      </c>
      <c r="W1070" s="5" t="s">
        <v>13412</v>
      </c>
      <c r="X1070" s="5" t="s">
        <v>13412</v>
      </c>
      <c r="Y1070" s="4">
        <v>786</v>
      </c>
      <c r="Z1070" s="4">
        <v>630</v>
      </c>
      <c r="AA1070" s="4">
        <v>638</v>
      </c>
      <c r="AB1070" s="4">
        <v>6</v>
      </c>
      <c r="AC1070" s="4">
        <v>6</v>
      </c>
      <c r="AD1070" s="4">
        <v>33</v>
      </c>
      <c r="AE1070" s="4">
        <v>33</v>
      </c>
      <c r="AF1070" s="4">
        <v>15</v>
      </c>
      <c r="AG1070" s="4">
        <v>15</v>
      </c>
      <c r="AH1070" s="4">
        <v>4</v>
      </c>
      <c r="AI1070" s="4">
        <v>4</v>
      </c>
      <c r="AJ1070" s="4">
        <v>16</v>
      </c>
      <c r="AK1070" s="4">
        <v>16</v>
      </c>
      <c r="AL1070" s="4">
        <v>5</v>
      </c>
      <c r="AM1070" s="4">
        <v>5</v>
      </c>
      <c r="AN1070" s="4">
        <v>1</v>
      </c>
      <c r="AO1070" s="4">
        <v>1</v>
      </c>
      <c r="AP1070" s="3" t="s">
        <v>58</v>
      </c>
      <c r="AQ1070" s="3" t="s">
        <v>132</v>
      </c>
      <c r="AR1070" s="6" t="str">
        <f>HYPERLINK("http://catalog.hathitrust.org/Record/001085457","HathiTrust Record")</f>
        <v>HathiTrust Record</v>
      </c>
      <c r="AS1070" s="6" t="str">
        <f>HYPERLINK("https://creighton-primo.hosted.exlibrisgroup.com/primo-explore/search?tab=default_tab&amp;search_scope=EVERYTHING&amp;vid=01CRU&amp;lang=en_US&amp;offset=0&amp;query=any,contains,991001215299702656","Catalog Record")</f>
        <v>Catalog Record</v>
      </c>
      <c r="AT1070" s="6" t="str">
        <f>HYPERLINK("http://www.worldcat.org/oclc/17413536","WorldCat Record")</f>
        <v>WorldCat Record</v>
      </c>
      <c r="AU1070" s="3" t="s">
        <v>13413</v>
      </c>
      <c r="AV1070" s="3" t="s">
        <v>13414</v>
      </c>
      <c r="AW1070" s="3" t="s">
        <v>13415</v>
      </c>
      <c r="AX1070" s="3" t="s">
        <v>13415</v>
      </c>
      <c r="AY1070" s="3" t="s">
        <v>13416</v>
      </c>
      <c r="AZ1070" s="3" t="s">
        <v>75</v>
      </c>
      <c r="BB1070" s="3" t="s">
        <v>13417</v>
      </c>
      <c r="BC1070" s="3" t="s">
        <v>13418</v>
      </c>
      <c r="BD1070" s="3" t="s">
        <v>13419</v>
      </c>
    </row>
    <row r="1071" spans="1:56" ht="39" customHeight="1" x14ac:dyDescent="0.25">
      <c r="A1071" s="7" t="s">
        <v>58</v>
      </c>
      <c r="B1071" s="2" t="s">
        <v>13420</v>
      </c>
      <c r="C1071" s="2" t="s">
        <v>13421</v>
      </c>
      <c r="D1071" s="2" t="s">
        <v>13422</v>
      </c>
      <c r="F1071" s="3" t="s">
        <v>58</v>
      </c>
      <c r="G1071" s="3" t="s">
        <v>59</v>
      </c>
      <c r="H1071" s="3" t="s">
        <v>58</v>
      </c>
      <c r="I1071" s="3" t="s">
        <v>58</v>
      </c>
      <c r="J1071" s="3" t="s">
        <v>60</v>
      </c>
      <c r="K1071" s="2" t="s">
        <v>13423</v>
      </c>
      <c r="L1071" s="2" t="s">
        <v>13424</v>
      </c>
      <c r="M1071" s="3" t="s">
        <v>462</v>
      </c>
      <c r="O1071" s="3" t="s">
        <v>65</v>
      </c>
      <c r="P1071" s="3" t="s">
        <v>186</v>
      </c>
      <c r="Q1071" s="2" t="s">
        <v>13411</v>
      </c>
      <c r="R1071" s="3" t="s">
        <v>68</v>
      </c>
      <c r="S1071" s="4">
        <v>3</v>
      </c>
      <c r="T1071" s="4">
        <v>3</v>
      </c>
      <c r="U1071" s="5" t="s">
        <v>13425</v>
      </c>
      <c r="V1071" s="5" t="s">
        <v>13425</v>
      </c>
      <c r="W1071" s="5" t="s">
        <v>12856</v>
      </c>
      <c r="X1071" s="5" t="s">
        <v>12856</v>
      </c>
      <c r="Y1071" s="4">
        <v>807</v>
      </c>
      <c r="Z1071" s="4">
        <v>718</v>
      </c>
      <c r="AA1071" s="4">
        <v>725</v>
      </c>
      <c r="AB1071" s="4">
        <v>7</v>
      </c>
      <c r="AC1071" s="4">
        <v>7</v>
      </c>
      <c r="AD1071" s="4">
        <v>35</v>
      </c>
      <c r="AE1071" s="4">
        <v>35</v>
      </c>
      <c r="AF1071" s="4">
        <v>19</v>
      </c>
      <c r="AG1071" s="4">
        <v>19</v>
      </c>
      <c r="AH1071" s="4">
        <v>3</v>
      </c>
      <c r="AI1071" s="4">
        <v>3</v>
      </c>
      <c r="AJ1071" s="4">
        <v>16</v>
      </c>
      <c r="AK1071" s="4">
        <v>16</v>
      </c>
      <c r="AL1071" s="4">
        <v>6</v>
      </c>
      <c r="AM1071" s="4">
        <v>6</v>
      </c>
      <c r="AN1071" s="4">
        <v>0</v>
      </c>
      <c r="AO1071" s="4">
        <v>0</v>
      </c>
      <c r="AP1071" s="3" t="s">
        <v>58</v>
      </c>
      <c r="AQ1071" s="3" t="s">
        <v>132</v>
      </c>
      <c r="AR1071" s="6" t="str">
        <f>HYPERLINK("http://catalog.hathitrust.org/Record/000122009","HathiTrust Record")</f>
        <v>HathiTrust Record</v>
      </c>
      <c r="AS1071" s="6" t="str">
        <f>HYPERLINK("https://creighton-primo.hosted.exlibrisgroup.com/primo-explore/search?tab=default_tab&amp;search_scope=EVERYTHING&amp;vid=01CRU&amp;lang=en_US&amp;offset=0&amp;query=any,contains,991000226349702656","Catalog Record")</f>
        <v>Catalog Record</v>
      </c>
      <c r="AT1071" s="6" t="str">
        <f>HYPERLINK("http://www.worldcat.org/oclc/9620094","WorldCat Record")</f>
        <v>WorldCat Record</v>
      </c>
      <c r="AU1071" s="3" t="s">
        <v>13426</v>
      </c>
      <c r="AV1071" s="3" t="s">
        <v>13427</v>
      </c>
      <c r="AW1071" s="3" t="s">
        <v>13428</v>
      </c>
      <c r="AX1071" s="3" t="s">
        <v>13428</v>
      </c>
      <c r="AY1071" s="3" t="s">
        <v>13429</v>
      </c>
      <c r="AZ1071" s="3" t="s">
        <v>75</v>
      </c>
      <c r="BB1071" s="3" t="s">
        <v>13430</v>
      </c>
      <c r="BC1071" s="3" t="s">
        <v>13431</v>
      </c>
      <c r="BD1071" s="3" t="s">
        <v>13432</v>
      </c>
    </row>
    <row r="1072" spans="1:56" ht="39" customHeight="1" x14ac:dyDescent="0.25">
      <c r="A1072" s="7" t="s">
        <v>58</v>
      </c>
      <c r="B1072" s="2" t="s">
        <v>13433</v>
      </c>
      <c r="C1072" s="2" t="s">
        <v>13434</v>
      </c>
      <c r="D1072" s="2" t="s">
        <v>13435</v>
      </c>
      <c r="F1072" s="3" t="s">
        <v>58</v>
      </c>
      <c r="G1072" s="3" t="s">
        <v>59</v>
      </c>
      <c r="H1072" s="3" t="s">
        <v>58</v>
      </c>
      <c r="I1072" s="3" t="s">
        <v>58</v>
      </c>
      <c r="J1072" s="3" t="s">
        <v>60</v>
      </c>
      <c r="L1072" s="2" t="s">
        <v>13436</v>
      </c>
      <c r="M1072" s="3" t="s">
        <v>709</v>
      </c>
      <c r="O1072" s="3" t="s">
        <v>65</v>
      </c>
      <c r="P1072" s="3" t="s">
        <v>571</v>
      </c>
      <c r="Q1072" s="2" t="s">
        <v>13437</v>
      </c>
      <c r="R1072" s="3" t="s">
        <v>68</v>
      </c>
      <c r="S1072" s="4">
        <v>3</v>
      </c>
      <c r="T1072" s="4">
        <v>3</v>
      </c>
      <c r="U1072" s="5" t="s">
        <v>13425</v>
      </c>
      <c r="V1072" s="5" t="s">
        <v>13425</v>
      </c>
      <c r="W1072" s="5" t="s">
        <v>13438</v>
      </c>
      <c r="X1072" s="5" t="s">
        <v>13438</v>
      </c>
      <c r="Y1072" s="4">
        <v>377</v>
      </c>
      <c r="Z1072" s="4">
        <v>312</v>
      </c>
      <c r="AA1072" s="4">
        <v>318</v>
      </c>
      <c r="AB1072" s="4">
        <v>3</v>
      </c>
      <c r="AC1072" s="4">
        <v>3</v>
      </c>
      <c r="AD1072" s="4">
        <v>13</v>
      </c>
      <c r="AE1072" s="4">
        <v>13</v>
      </c>
      <c r="AF1072" s="4">
        <v>4</v>
      </c>
      <c r="AG1072" s="4">
        <v>4</v>
      </c>
      <c r="AH1072" s="4">
        <v>1</v>
      </c>
      <c r="AI1072" s="4">
        <v>1</v>
      </c>
      <c r="AJ1072" s="4">
        <v>10</v>
      </c>
      <c r="AK1072" s="4">
        <v>10</v>
      </c>
      <c r="AL1072" s="4">
        <v>2</v>
      </c>
      <c r="AM1072" s="4">
        <v>2</v>
      </c>
      <c r="AN1072" s="4">
        <v>0</v>
      </c>
      <c r="AO1072" s="4">
        <v>0</v>
      </c>
      <c r="AP1072" s="3" t="s">
        <v>58</v>
      </c>
      <c r="AQ1072" s="3" t="s">
        <v>132</v>
      </c>
      <c r="AR1072" s="6" t="str">
        <f>HYPERLINK("http://catalog.hathitrust.org/Record/002205303","HathiTrust Record")</f>
        <v>HathiTrust Record</v>
      </c>
      <c r="AS1072" s="6" t="str">
        <f>HYPERLINK("https://creighton-primo.hosted.exlibrisgroup.com/primo-explore/search?tab=default_tab&amp;search_scope=EVERYTHING&amp;vid=01CRU&amp;lang=en_US&amp;offset=0&amp;query=any,contains,991001629289702656","Catalog Record")</f>
        <v>Catalog Record</v>
      </c>
      <c r="AT1072" s="6" t="str">
        <f>HYPERLINK("http://www.worldcat.org/oclc/20893285","WorldCat Record")</f>
        <v>WorldCat Record</v>
      </c>
      <c r="AU1072" s="3" t="s">
        <v>13439</v>
      </c>
      <c r="AV1072" s="3" t="s">
        <v>13440</v>
      </c>
      <c r="AW1072" s="3" t="s">
        <v>13441</v>
      </c>
      <c r="AX1072" s="3" t="s">
        <v>13441</v>
      </c>
      <c r="AY1072" s="3" t="s">
        <v>13442</v>
      </c>
      <c r="AZ1072" s="3" t="s">
        <v>75</v>
      </c>
      <c r="BB1072" s="3" t="s">
        <v>13443</v>
      </c>
      <c r="BC1072" s="3" t="s">
        <v>13444</v>
      </c>
      <c r="BD1072" s="3" t="s">
        <v>13445</v>
      </c>
    </row>
    <row r="1073" spans="1:56" ht="39" customHeight="1" x14ac:dyDescent="0.25">
      <c r="A1073" s="7" t="s">
        <v>58</v>
      </c>
      <c r="B1073" s="2" t="s">
        <v>13446</v>
      </c>
      <c r="C1073" s="2" t="s">
        <v>13447</v>
      </c>
      <c r="D1073" s="2" t="s">
        <v>13448</v>
      </c>
      <c r="F1073" s="3" t="s">
        <v>58</v>
      </c>
      <c r="G1073" s="3" t="s">
        <v>59</v>
      </c>
      <c r="H1073" s="3" t="s">
        <v>58</v>
      </c>
      <c r="I1073" s="3" t="s">
        <v>58</v>
      </c>
      <c r="J1073" s="3" t="s">
        <v>60</v>
      </c>
      <c r="K1073" s="2" t="s">
        <v>13449</v>
      </c>
      <c r="L1073" s="2" t="s">
        <v>8006</v>
      </c>
      <c r="M1073" s="3" t="s">
        <v>1046</v>
      </c>
      <c r="N1073" s="2" t="s">
        <v>476</v>
      </c>
      <c r="O1073" s="3" t="s">
        <v>65</v>
      </c>
      <c r="P1073" s="3" t="s">
        <v>477</v>
      </c>
      <c r="R1073" s="3" t="s">
        <v>68</v>
      </c>
      <c r="S1073" s="4">
        <v>2</v>
      </c>
      <c r="T1073" s="4">
        <v>2</v>
      </c>
      <c r="U1073" s="5" t="s">
        <v>13450</v>
      </c>
      <c r="V1073" s="5" t="s">
        <v>13450</v>
      </c>
      <c r="W1073" s="5" t="s">
        <v>1804</v>
      </c>
      <c r="X1073" s="5" t="s">
        <v>1804</v>
      </c>
      <c r="Y1073" s="4">
        <v>235</v>
      </c>
      <c r="Z1073" s="4">
        <v>213</v>
      </c>
      <c r="AA1073" s="4">
        <v>218</v>
      </c>
      <c r="AB1073" s="4">
        <v>2</v>
      </c>
      <c r="AC1073" s="4">
        <v>2</v>
      </c>
      <c r="AD1073" s="4">
        <v>11</v>
      </c>
      <c r="AE1073" s="4">
        <v>11</v>
      </c>
      <c r="AF1073" s="4">
        <v>3</v>
      </c>
      <c r="AG1073" s="4">
        <v>3</v>
      </c>
      <c r="AH1073" s="4">
        <v>2</v>
      </c>
      <c r="AI1073" s="4">
        <v>2</v>
      </c>
      <c r="AJ1073" s="4">
        <v>7</v>
      </c>
      <c r="AK1073" s="4">
        <v>7</v>
      </c>
      <c r="AL1073" s="4">
        <v>1</v>
      </c>
      <c r="AM1073" s="4">
        <v>1</v>
      </c>
      <c r="AN1073" s="4">
        <v>0</v>
      </c>
      <c r="AO1073" s="4">
        <v>0</v>
      </c>
      <c r="AP1073" s="3" t="s">
        <v>58</v>
      </c>
      <c r="AQ1073" s="3" t="s">
        <v>58</v>
      </c>
      <c r="AS1073" s="6" t="str">
        <f>HYPERLINK("https://creighton-primo.hosted.exlibrisgroup.com/primo-explore/search?tab=default_tab&amp;search_scope=EVERYTHING&amp;vid=01CRU&amp;lang=en_US&amp;offset=0&amp;query=any,contains,991000872339702656","Catalog Record")</f>
        <v>Catalog Record</v>
      </c>
      <c r="AT1073" s="6" t="str">
        <f>HYPERLINK("http://www.worldcat.org/oclc/13793741","WorldCat Record")</f>
        <v>WorldCat Record</v>
      </c>
      <c r="AU1073" s="3" t="s">
        <v>13451</v>
      </c>
      <c r="AV1073" s="3" t="s">
        <v>13452</v>
      </c>
      <c r="AW1073" s="3" t="s">
        <v>13453</v>
      </c>
      <c r="AX1073" s="3" t="s">
        <v>13453</v>
      </c>
      <c r="AY1073" s="3" t="s">
        <v>13454</v>
      </c>
      <c r="AZ1073" s="3" t="s">
        <v>75</v>
      </c>
      <c r="BB1073" s="3" t="s">
        <v>13455</v>
      </c>
      <c r="BC1073" s="3" t="s">
        <v>13456</v>
      </c>
      <c r="BD1073" s="3" t="s">
        <v>13457</v>
      </c>
    </row>
    <row r="1074" spans="1:56" ht="39" customHeight="1" x14ac:dyDescent="0.25">
      <c r="A1074" s="7" t="s">
        <v>58</v>
      </c>
      <c r="B1074" s="2" t="s">
        <v>13458</v>
      </c>
      <c r="C1074" s="2" t="s">
        <v>13459</v>
      </c>
      <c r="D1074" s="2" t="s">
        <v>13460</v>
      </c>
      <c r="F1074" s="3" t="s">
        <v>58</v>
      </c>
      <c r="G1074" s="3" t="s">
        <v>59</v>
      </c>
      <c r="H1074" s="3" t="s">
        <v>58</v>
      </c>
      <c r="I1074" s="3" t="s">
        <v>58</v>
      </c>
      <c r="J1074" s="3" t="s">
        <v>60</v>
      </c>
      <c r="K1074" s="2" t="s">
        <v>13461</v>
      </c>
      <c r="L1074" s="2" t="s">
        <v>13320</v>
      </c>
      <c r="M1074" s="3" t="s">
        <v>462</v>
      </c>
      <c r="O1074" s="3" t="s">
        <v>65</v>
      </c>
      <c r="P1074" s="3" t="s">
        <v>201</v>
      </c>
      <c r="R1074" s="3" t="s">
        <v>68</v>
      </c>
      <c r="S1074" s="4">
        <v>2</v>
      </c>
      <c r="T1074" s="4">
        <v>2</v>
      </c>
      <c r="U1074" s="5" t="s">
        <v>13462</v>
      </c>
      <c r="V1074" s="5" t="s">
        <v>13462</v>
      </c>
      <c r="W1074" s="5" t="s">
        <v>6589</v>
      </c>
      <c r="X1074" s="5" t="s">
        <v>6589</v>
      </c>
      <c r="Y1074" s="4">
        <v>273</v>
      </c>
      <c r="Z1074" s="4">
        <v>220</v>
      </c>
      <c r="AA1074" s="4">
        <v>236</v>
      </c>
      <c r="AB1074" s="4">
        <v>2</v>
      </c>
      <c r="AC1074" s="4">
        <v>2</v>
      </c>
      <c r="AD1074" s="4">
        <v>10</v>
      </c>
      <c r="AE1074" s="4">
        <v>10</v>
      </c>
      <c r="AF1074" s="4">
        <v>5</v>
      </c>
      <c r="AG1074" s="4">
        <v>5</v>
      </c>
      <c r="AH1074" s="4">
        <v>0</v>
      </c>
      <c r="AI1074" s="4">
        <v>0</v>
      </c>
      <c r="AJ1074" s="4">
        <v>5</v>
      </c>
      <c r="AK1074" s="4">
        <v>5</v>
      </c>
      <c r="AL1074" s="4">
        <v>1</v>
      </c>
      <c r="AM1074" s="4">
        <v>1</v>
      </c>
      <c r="AN1074" s="4">
        <v>0</v>
      </c>
      <c r="AO1074" s="4">
        <v>0</v>
      </c>
      <c r="AP1074" s="3" t="s">
        <v>58</v>
      </c>
      <c r="AQ1074" s="3" t="s">
        <v>58</v>
      </c>
      <c r="AS1074" s="6" t="str">
        <f>HYPERLINK("https://creighton-primo.hosted.exlibrisgroup.com/primo-explore/search?tab=default_tab&amp;search_scope=EVERYTHING&amp;vid=01CRU&amp;lang=en_US&amp;offset=0&amp;query=any,contains,991003851989702656","Catalog Record")</f>
        <v>Catalog Record</v>
      </c>
      <c r="AT1074" s="6" t="str">
        <f>HYPERLINK("http://www.worldcat.org/oclc/11370834","WorldCat Record")</f>
        <v>WorldCat Record</v>
      </c>
      <c r="AU1074" s="3" t="s">
        <v>13463</v>
      </c>
      <c r="AV1074" s="3" t="s">
        <v>13464</v>
      </c>
      <c r="AW1074" s="3" t="s">
        <v>13465</v>
      </c>
      <c r="AX1074" s="3" t="s">
        <v>13465</v>
      </c>
      <c r="AY1074" s="3" t="s">
        <v>13466</v>
      </c>
      <c r="AZ1074" s="3" t="s">
        <v>75</v>
      </c>
      <c r="BB1074" s="3" t="s">
        <v>13467</v>
      </c>
      <c r="BC1074" s="3" t="s">
        <v>13468</v>
      </c>
      <c r="BD1074" s="3" t="s">
        <v>13469</v>
      </c>
    </row>
    <row r="1075" spans="1:56" ht="39" customHeight="1" x14ac:dyDescent="0.25">
      <c r="A1075" s="7" t="s">
        <v>58</v>
      </c>
      <c r="B1075" s="2" t="s">
        <v>13470</v>
      </c>
      <c r="C1075" s="2" t="s">
        <v>13471</v>
      </c>
      <c r="D1075" s="2" t="s">
        <v>13472</v>
      </c>
      <c r="F1075" s="3" t="s">
        <v>58</v>
      </c>
      <c r="G1075" s="3" t="s">
        <v>59</v>
      </c>
      <c r="H1075" s="3" t="s">
        <v>58</v>
      </c>
      <c r="I1075" s="3" t="s">
        <v>58</v>
      </c>
      <c r="J1075" s="3" t="s">
        <v>60</v>
      </c>
      <c r="K1075" s="2" t="s">
        <v>13473</v>
      </c>
      <c r="L1075" s="2" t="s">
        <v>13474</v>
      </c>
      <c r="M1075" s="3" t="s">
        <v>781</v>
      </c>
      <c r="O1075" s="3" t="s">
        <v>65</v>
      </c>
      <c r="P1075" s="3" t="s">
        <v>5412</v>
      </c>
      <c r="R1075" s="3" t="s">
        <v>68</v>
      </c>
      <c r="S1075" s="4">
        <v>2</v>
      </c>
      <c r="T1075" s="4">
        <v>2</v>
      </c>
      <c r="U1075" s="5" t="s">
        <v>8638</v>
      </c>
      <c r="V1075" s="5" t="s">
        <v>8638</v>
      </c>
      <c r="W1075" s="5" t="s">
        <v>13475</v>
      </c>
      <c r="X1075" s="5" t="s">
        <v>13475</v>
      </c>
      <c r="Y1075" s="4">
        <v>52</v>
      </c>
      <c r="Z1075" s="4">
        <v>32</v>
      </c>
      <c r="AA1075" s="4">
        <v>64</v>
      </c>
      <c r="AB1075" s="4">
        <v>2</v>
      </c>
      <c r="AC1075" s="4">
        <v>2</v>
      </c>
      <c r="AD1075" s="4">
        <v>2</v>
      </c>
      <c r="AE1075" s="4">
        <v>7</v>
      </c>
      <c r="AF1075" s="4">
        <v>0</v>
      </c>
      <c r="AG1075" s="4">
        <v>1</v>
      </c>
      <c r="AH1075" s="4">
        <v>1</v>
      </c>
      <c r="AI1075" s="4">
        <v>2</v>
      </c>
      <c r="AJ1075" s="4">
        <v>2</v>
      </c>
      <c r="AK1075" s="4">
        <v>6</v>
      </c>
      <c r="AL1075" s="4">
        <v>0</v>
      </c>
      <c r="AM1075" s="4">
        <v>0</v>
      </c>
      <c r="AN1075" s="4">
        <v>0</v>
      </c>
      <c r="AO1075" s="4">
        <v>0</v>
      </c>
      <c r="AP1075" s="3" t="s">
        <v>58</v>
      </c>
      <c r="AQ1075" s="3" t="s">
        <v>58</v>
      </c>
      <c r="AS1075" s="6" t="str">
        <f>HYPERLINK("https://creighton-primo.hosted.exlibrisgroup.com/primo-explore/search?tab=default_tab&amp;search_scope=EVERYTHING&amp;vid=01CRU&amp;lang=en_US&amp;offset=0&amp;query=any,contains,991000710449702656","Catalog Record")</f>
        <v>Catalog Record</v>
      </c>
      <c r="AT1075" s="6" t="str">
        <f>HYPERLINK("http://www.worldcat.org/oclc/12582280","WorldCat Record")</f>
        <v>WorldCat Record</v>
      </c>
      <c r="AU1075" s="3" t="s">
        <v>13476</v>
      </c>
      <c r="AV1075" s="3" t="s">
        <v>13477</v>
      </c>
      <c r="AW1075" s="3" t="s">
        <v>13478</v>
      </c>
      <c r="AX1075" s="3" t="s">
        <v>13478</v>
      </c>
      <c r="AY1075" s="3" t="s">
        <v>13479</v>
      </c>
      <c r="AZ1075" s="3" t="s">
        <v>75</v>
      </c>
      <c r="BB1075" s="3" t="s">
        <v>13480</v>
      </c>
      <c r="BC1075" s="3" t="s">
        <v>13481</v>
      </c>
      <c r="BD1075" s="3" t="s">
        <v>13482</v>
      </c>
    </row>
    <row r="1076" spans="1:56" ht="39" customHeight="1" x14ac:dyDescent="0.25">
      <c r="A1076" s="7" t="s">
        <v>58</v>
      </c>
      <c r="B1076" s="2" t="s">
        <v>13483</v>
      </c>
      <c r="C1076" s="2" t="s">
        <v>13484</v>
      </c>
      <c r="D1076" s="2" t="s">
        <v>13485</v>
      </c>
      <c r="F1076" s="3" t="s">
        <v>58</v>
      </c>
      <c r="G1076" s="3" t="s">
        <v>59</v>
      </c>
      <c r="H1076" s="3" t="s">
        <v>58</v>
      </c>
      <c r="I1076" s="3" t="s">
        <v>58</v>
      </c>
      <c r="J1076" s="3" t="s">
        <v>60</v>
      </c>
      <c r="L1076" s="2" t="s">
        <v>582</v>
      </c>
      <c r="M1076" s="3" t="s">
        <v>439</v>
      </c>
      <c r="N1076" s="2" t="s">
        <v>476</v>
      </c>
      <c r="O1076" s="3" t="s">
        <v>65</v>
      </c>
      <c r="P1076" s="3" t="s">
        <v>477</v>
      </c>
      <c r="R1076" s="3" t="s">
        <v>68</v>
      </c>
      <c r="S1076" s="4">
        <v>6</v>
      </c>
      <c r="T1076" s="4">
        <v>6</v>
      </c>
      <c r="U1076" s="5" t="s">
        <v>1060</v>
      </c>
      <c r="V1076" s="5" t="s">
        <v>1060</v>
      </c>
      <c r="W1076" s="5" t="s">
        <v>13475</v>
      </c>
      <c r="X1076" s="5" t="s">
        <v>13475</v>
      </c>
      <c r="Y1076" s="4">
        <v>597</v>
      </c>
      <c r="Z1076" s="4">
        <v>544</v>
      </c>
      <c r="AA1076" s="4">
        <v>552</v>
      </c>
      <c r="AB1076" s="4">
        <v>5</v>
      </c>
      <c r="AC1076" s="4">
        <v>5</v>
      </c>
      <c r="AD1076" s="4">
        <v>30</v>
      </c>
      <c r="AE1076" s="4">
        <v>30</v>
      </c>
      <c r="AF1076" s="4">
        <v>12</v>
      </c>
      <c r="AG1076" s="4">
        <v>12</v>
      </c>
      <c r="AH1076" s="4">
        <v>7</v>
      </c>
      <c r="AI1076" s="4">
        <v>7</v>
      </c>
      <c r="AJ1076" s="4">
        <v>15</v>
      </c>
      <c r="AK1076" s="4">
        <v>15</v>
      </c>
      <c r="AL1076" s="4">
        <v>3</v>
      </c>
      <c r="AM1076" s="4">
        <v>3</v>
      </c>
      <c r="AN1076" s="4">
        <v>0</v>
      </c>
      <c r="AO1076" s="4">
        <v>0</v>
      </c>
      <c r="AP1076" s="3" t="s">
        <v>58</v>
      </c>
      <c r="AQ1076" s="3" t="s">
        <v>58</v>
      </c>
      <c r="AS1076" s="6" t="str">
        <f>HYPERLINK("https://creighton-primo.hosted.exlibrisgroup.com/primo-explore/search?tab=default_tab&amp;search_scope=EVERYTHING&amp;vid=01CRU&amp;lang=en_US&amp;offset=0&amp;query=any,contains,991004928229702656","Catalog Record")</f>
        <v>Catalog Record</v>
      </c>
      <c r="AT1076" s="6" t="str">
        <f>HYPERLINK("http://www.worldcat.org/oclc/6087778","WorldCat Record")</f>
        <v>WorldCat Record</v>
      </c>
      <c r="AU1076" s="3" t="s">
        <v>13486</v>
      </c>
      <c r="AV1076" s="3" t="s">
        <v>13487</v>
      </c>
      <c r="AW1076" s="3" t="s">
        <v>13488</v>
      </c>
      <c r="AX1076" s="3" t="s">
        <v>13488</v>
      </c>
      <c r="AY1076" s="3" t="s">
        <v>13489</v>
      </c>
      <c r="AZ1076" s="3" t="s">
        <v>75</v>
      </c>
      <c r="BB1076" s="3" t="s">
        <v>13490</v>
      </c>
      <c r="BC1076" s="3" t="s">
        <v>13491</v>
      </c>
      <c r="BD1076" s="3" t="s">
        <v>13492</v>
      </c>
    </row>
    <row r="1077" spans="1:56" ht="39" customHeight="1" x14ac:dyDescent="0.25">
      <c r="A1077" s="7" t="s">
        <v>58</v>
      </c>
      <c r="B1077" s="2" t="s">
        <v>13493</v>
      </c>
      <c r="C1077" s="2" t="s">
        <v>13494</v>
      </c>
      <c r="D1077" s="2" t="s">
        <v>13495</v>
      </c>
      <c r="F1077" s="3" t="s">
        <v>58</v>
      </c>
      <c r="G1077" s="3" t="s">
        <v>59</v>
      </c>
      <c r="H1077" s="3" t="s">
        <v>58</v>
      </c>
      <c r="I1077" s="3" t="s">
        <v>58</v>
      </c>
      <c r="J1077" s="3" t="s">
        <v>60</v>
      </c>
      <c r="K1077" s="2" t="s">
        <v>13496</v>
      </c>
      <c r="L1077" s="2" t="s">
        <v>13497</v>
      </c>
      <c r="M1077" s="3" t="s">
        <v>781</v>
      </c>
      <c r="O1077" s="3" t="s">
        <v>65</v>
      </c>
      <c r="P1077" s="3" t="s">
        <v>66</v>
      </c>
      <c r="Q1077" s="2" t="s">
        <v>13498</v>
      </c>
      <c r="R1077" s="3" t="s">
        <v>68</v>
      </c>
      <c r="S1077" s="4">
        <v>2</v>
      </c>
      <c r="T1077" s="4">
        <v>2</v>
      </c>
      <c r="U1077" s="5" t="s">
        <v>13499</v>
      </c>
      <c r="V1077" s="5" t="s">
        <v>13499</v>
      </c>
      <c r="W1077" s="5" t="s">
        <v>13475</v>
      </c>
      <c r="X1077" s="5" t="s">
        <v>13475</v>
      </c>
      <c r="Y1077" s="4">
        <v>26</v>
      </c>
      <c r="Z1077" s="4">
        <v>10</v>
      </c>
      <c r="AA1077" s="4">
        <v>157</v>
      </c>
      <c r="AB1077" s="4">
        <v>1</v>
      </c>
      <c r="AC1077" s="4">
        <v>4</v>
      </c>
      <c r="AD1077" s="4">
        <v>0</v>
      </c>
      <c r="AE1077" s="4">
        <v>4</v>
      </c>
      <c r="AF1077" s="4">
        <v>0</v>
      </c>
      <c r="AG1077" s="4">
        <v>1</v>
      </c>
      <c r="AH1077" s="4">
        <v>0</v>
      </c>
      <c r="AI1077" s="4">
        <v>0</v>
      </c>
      <c r="AJ1077" s="4">
        <v>0</v>
      </c>
      <c r="AK1077" s="4">
        <v>2</v>
      </c>
      <c r="AL1077" s="4">
        <v>0</v>
      </c>
      <c r="AM1077" s="4">
        <v>2</v>
      </c>
      <c r="AN1077" s="4">
        <v>0</v>
      </c>
      <c r="AO1077" s="4">
        <v>0</v>
      </c>
      <c r="AP1077" s="3" t="s">
        <v>58</v>
      </c>
      <c r="AQ1077" s="3" t="s">
        <v>58</v>
      </c>
      <c r="AS1077" s="6" t="str">
        <f>HYPERLINK("https://creighton-primo.hosted.exlibrisgroup.com/primo-explore/search?tab=default_tab&amp;search_scope=EVERYTHING&amp;vid=01CRU&amp;lang=en_US&amp;offset=0&amp;query=any,contains,991000696069702656","Catalog Record")</f>
        <v>Catalog Record</v>
      </c>
      <c r="AT1077" s="6" t="str">
        <f>HYPERLINK("http://www.worldcat.org/oclc/12513762","WorldCat Record")</f>
        <v>WorldCat Record</v>
      </c>
      <c r="AU1077" s="3" t="s">
        <v>13500</v>
      </c>
      <c r="AV1077" s="3" t="s">
        <v>13501</v>
      </c>
      <c r="AW1077" s="3" t="s">
        <v>13502</v>
      </c>
      <c r="AX1077" s="3" t="s">
        <v>13502</v>
      </c>
      <c r="AY1077" s="3" t="s">
        <v>13503</v>
      </c>
      <c r="AZ1077" s="3" t="s">
        <v>75</v>
      </c>
      <c r="BB1077" s="3" t="s">
        <v>13504</v>
      </c>
      <c r="BC1077" s="3" t="s">
        <v>13505</v>
      </c>
      <c r="BD1077" s="3" t="s">
        <v>13506</v>
      </c>
    </row>
    <row r="1078" spans="1:56" ht="39" customHeight="1" x14ac:dyDescent="0.25">
      <c r="A1078" s="7" t="s">
        <v>58</v>
      </c>
      <c r="B1078" s="2" t="s">
        <v>13507</v>
      </c>
      <c r="C1078" s="2" t="s">
        <v>13508</v>
      </c>
      <c r="D1078" s="2" t="s">
        <v>13509</v>
      </c>
      <c r="F1078" s="3" t="s">
        <v>58</v>
      </c>
      <c r="G1078" s="3" t="s">
        <v>59</v>
      </c>
      <c r="H1078" s="3" t="s">
        <v>58</v>
      </c>
      <c r="I1078" s="3" t="s">
        <v>58</v>
      </c>
      <c r="J1078" s="3" t="s">
        <v>60</v>
      </c>
      <c r="K1078" s="2" t="s">
        <v>13510</v>
      </c>
      <c r="L1078" s="2" t="s">
        <v>13511</v>
      </c>
      <c r="M1078" s="3" t="s">
        <v>361</v>
      </c>
      <c r="O1078" s="3" t="s">
        <v>65</v>
      </c>
      <c r="P1078" s="3" t="s">
        <v>66</v>
      </c>
      <c r="R1078" s="3" t="s">
        <v>68</v>
      </c>
      <c r="S1078" s="4">
        <v>2</v>
      </c>
      <c r="T1078" s="4">
        <v>2</v>
      </c>
      <c r="U1078" s="5" t="s">
        <v>13512</v>
      </c>
      <c r="V1078" s="5" t="s">
        <v>13512</v>
      </c>
      <c r="W1078" s="5" t="s">
        <v>13475</v>
      </c>
      <c r="X1078" s="5" t="s">
        <v>13475</v>
      </c>
      <c r="Y1078" s="4">
        <v>107</v>
      </c>
      <c r="Z1078" s="4">
        <v>56</v>
      </c>
      <c r="AA1078" s="4">
        <v>58</v>
      </c>
      <c r="AB1078" s="4">
        <v>1</v>
      </c>
      <c r="AC1078" s="4">
        <v>1</v>
      </c>
      <c r="AD1078" s="4">
        <v>4</v>
      </c>
      <c r="AE1078" s="4">
        <v>4</v>
      </c>
      <c r="AF1078" s="4">
        <v>0</v>
      </c>
      <c r="AG1078" s="4">
        <v>0</v>
      </c>
      <c r="AH1078" s="4">
        <v>1</v>
      </c>
      <c r="AI1078" s="4">
        <v>1</v>
      </c>
      <c r="AJ1078" s="4">
        <v>3</v>
      </c>
      <c r="AK1078" s="4">
        <v>3</v>
      </c>
      <c r="AL1078" s="4">
        <v>0</v>
      </c>
      <c r="AM1078" s="4">
        <v>0</v>
      </c>
      <c r="AN1078" s="4">
        <v>0</v>
      </c>
      <c r="AO1078" s="4">
        <v>0</v>
      </c>
      <c r="AP1078" s="3" t="s">
        <v>58</v>
      </c>
      <c r="AQ1078" s="3" t="s">
        <v>132</v>
      </c>
      <c r="AR1078" s="6" t="str">
        <f>HYPERLINK("http://catalog.hathitrust.org/Record/000206076","HathiTrust Record")</f>
        <v>HathiTrust Record</v>
      </c>
      <c r="AS1078" s="6" t="str">
        <f>HYPERLINK("https://creighton-primo.hosted.exlibrisgroup.com/primo-explore/search?tab=default_tab&amp;search_scope=EVERYTHING&amp;vid=01CRU&amp;lang=en_US&amp;offset=0&amp;query=any,contains,991000369539702656","Catalog Record")</f>
        <v>Catalog Record</v>
      </c>
      <c r="AT1078" s="6" t="str">
        <f>HYPERLINK("http://www.worldcat.org/oclc/10427434","WorldCat Record")</f>
        <v>WorldCat Record</v>
      </c>
      <c r="AU1078" s="3" t="s">
        <v>13513</v>
      </c>
      <c r="AV1078" s="3" t="s">
        <v>13514</v>
      </c>
      <c r="AW1078" s="3" t="s">
        <v>13515</v>
      </c>
      <c r="AX1078" s="3" t="s">
        <v>13515</v>
      </c>
      <c r="AY1078" s="3" t="s">
        <v>13516</v>
      </c>
      <c r="AZ1078" s="3" t="s">
        <v>75</v>
      </c>
      <c r="BB1078" s="3" t="s">
        <v>13517</v>
      </c>
      <c r="BC1078" s="3" t="s">
        <v>13518</v>
      </c>
      <c r="BD1078" s="3" t="s">
        <v>13519</v>
      </c>
    </row>
    <row r="1079" spans="1:56" ht="39" customHeight="1" x14ac:dyDescent="0.25">
      <c r="A1079" s="7" t="s">
        <v>58</v>
      </c>
      <c r="B1079" s="2" t="s">
        <v>13520</v>
      </c>
      <c r="C1079" s="2" t="s">
        <v>13521</v>
      </c>
      <c r="D1079" s="2" t="s">
        <v>13522</v>
      </c>
      <c r="F1079" s="3" t="s">
        <v>58</v>
      </c>
      <c r="G1079" s="3" t="s">
        <v>59</v>
      </c>
      <c r="H1079" s="3" t="s">
        <v>58</v>
      </c>
      <c r="I1079" s="3" t="s">
        <v>58</v>
      </c>
      <c r="J1079" s="3" t="s">
        <v>60</v>
      </c>
      <c r="K1079" s="2" t="s">
        <v>8506</v>
      </c>
      <c r="L1079" s="2" t="s">
        <v>13523</v>
      </c>
      <c r="M1079" s="3" t="s">
        <v>439</v>
      </c>
      <c r="O1079" s="3" t="s">
        <v>65</v>
      </c>
      <c r="P1079" s="3" t="s">
        <v>186</v>
      </c>
      <c r="R1079" s="3" t="s">
        <v>68</v>
      </c>
      <c r="S1079" s="4">
        <v>9</v>
      </c>
      <c r="T1079" s="4">
        <v>9</v>
      </c>
      <c r="U1079" s="5" t="s">
        <v>13524</v>
      </c>
      <c r="V1079" s="5" t="s">
        <v>13524</v>
      </c>
      <c r="W1079" s="5" t="s">
        <v>13525</v>
      </c>
      <c r="X1079" s="5" t="s">
        <v>13525</v>
      </c>
      <c r="Y1079" s="4">
        <v>345</v>
      </c>
      <c r="Z1079" s="4">
        <v>294</v>
      </c>
      <c r="AA1079" s="4">
        <v>404</v>
      </c>
      <c r="AB1079" s="4">
        <v>5</v>
      </c>
      <c r="AC1079" s="4">
        <v>5</v>
      </c>
      <c r="AD1079" s="4">
        <v>25</v>
      </c>
      <c r="AE1079" s="4">
        <v>33</v>
      </c>
      <c r="AF1079" s="4">
        <v>7</v>
      </c>
      <c r="AG1079" s="4">
        <v>12</v>
      </c>
      <c r="AH1079" s="4">
        <v>5</v>
      </c>
      <c r="AI1079" s="4">
        <v>7</v>
      </c>
      <c r="AJ1079" s="4">
        <v>17</v>
      </c>
      <c r="AK1079" s="4">
        <v>20</v>
      </c>
      <c r="AL1079" s="4">
        <v>2</v>
      </c>
      <c r="AM1079" s="4">
        <v>2</v>
      </c>
      <c r="AN1079" s="4">
        <v>0</v>
      </c>
      <c r="AO1079" s="4">
        <v>0</v>
      </c>
      <c r="AP1079" s="3" t="s">
        <v>58</v>
      </c>
      <c r="AQ1079" s="3" t="s">
        <v>58</v>
      </c>
      <c r="AS1079" s="6" t="str">
        <f>HYPERLINK("https://creighton-primo.hosted.exlibrisgroup.com/primo-explore/search?tab=default_tab&amp;search_scope=EVERYTHING&amp;vid=01CRU&amp;lang=en_US&amp;offset=0&amp;query=any,contains,991004943679702656","Catalog Record")</f>
        <v>Catalog Record</v>
      </c>
      <c r="AT1079" s="6" t="str">
        <f>HYPERLINK("http://www.worldcat.org/oclc/6196565","WorldCat Record")</f>
        <v>WorldCat Record</v>
      </c>
      <c r="AU1079" s="3" t="s">
        <v>13526</v>
      </c>
      <c r="AV1079" s="3" t="s">
        <v>13527</v>
      </c>
      <c r="AW1079" s="3" t="s">
        <v>13528</v>
      </c>
      <c r="AX1079" s="3" t="s">
        <v>13528</v>
      </c>
      <c r="AY1079" s="3" t="s">
        <v>13529</v>
      </c>
      <c r="AZ1079" s="3" t="s">
        <v>75</v>
      </c>
      <c r="BB1079" s="3" t="s">
        <v>13530</v>
      </c>
      <c r="BC1079" s="3" t="s">
        <v>13531</v>
      </c>
      <c r="BD1079" s="3" t="s">
        <v>13532</v>
      </c>
    </row>
    <row r="1080" spans="1:56" ht="39" customHeight="1" x14ac:dyDescent="0.25">
      <c r="A1080" s="7" t="s">
        <v>58</v>
      </c>
      <c r="B1080" s="2" t="s">
        <v>13533</v>
      </c>
      <c r="C1080" s="2" t="s">
        <v>13534</v>
      </c>
      <c r="D1080" s="2" t="s">
        <v>13535</v>
      </c>
      <c r="F1080" s="3" t="s">
        <v>58</v>
      </c>
      <c r="G1080" s="3" t="s">
        <v>59</v>
      </c>
      <c r="H1080" s="3" t="s">
        <v>58</v>
      </c>
      <c r="I1080" s="3" t="s">
        <v>58</v>
      </c>
      <c r="J1080" s="3" t="s">
        <v>60</v>
      </c>
      <c r="K1080" s="2" t="s">
        <v>13536</v>
      </c>
      <c r="L1080" s="2" t="s">
        <v>2039</v>
      </c>
      <c r="M1080" s="3" t="s">
        <v>544</v>
      </c>
      <c r="O1080" s="3" t="s">
        <v>65</v>
      </c>
      <c r="P1080" s="3" t="s">
        <v>346</v>
      </c>
      <c r="R1080" s="3" t="s">
        <v>68</v>
      </c>
      <c r="S1080" s="4">
        <v>3</v>
      </c>
      <c r="T1080" s="4">
        <v>3</v>
      </c>
      <c r="U1080" s="5" t="s">
        <v>606</v>
      </c>
      <c r="V1080" s="5" t="s">
        <v>606</v>
      </c>
      <c r="W1080" s="5" t="s">
        <v>6507</v>
      </c>
      <c r="X1080" s="5" t="s">
        <v>6507</v>
      </c>
      <c r="Y1080" s="4">
        <v>158</v>
      </c>
      <c r="Z1080" s="4">
        <v>133</v>
      </c>
      <c r="AA1080" s="4">
        <v>138</v>
      </c>
      <c r="AB1080" s="4">
        <v>3</v>
      </c>
      <c r="AC1080" s="4">
        <v>3</v>
      </c>
      <c r="AD1080" s="4">
        <v>9</v>
      </c>
      <c r="AE1080" s="4">
        <v>9</v>
      </c>
      <c r="AF1080" s="4">
        <v>3</v>
      </c>
      <c r="AG1080" s="4">
        <v>3</v>
      </c>
      <c r="AH1080" s="4">
        <v>2</v>
      </c>
      <c r="AI1080" s="4">
        <v>2</v>
      </c>
      <c r="AJ1080" s="4">
        <v>2</v>
      </c>
      <c r="AK1080" s="4">
        <v>2</v>
      </c>
      <c r="AL1080" s="4">
        <v>2</v>
      </c>
      <c r="AM1080" s="4">
        <v>2</v>
      </c>
      <c r="AN1080" s="4">
        <v>0</v>
      </c>
      <c r="AO1080" s="4">
        <v>0</v>
      </c>
      <c r="AP1080" s="3" t="s">
        <v>58</v>
      </c>
      <c r="AQ1080" s="3" t="s">
        <v>58</v>
      </c>
      <c r="AS1080" s="6" t="str">
        <f>HYPERLINK("https://creighton-primo.hosted.exlibrisgroup.com/primo-explore/search?tab=default_tab&amp;search_scope=EVERYTHING&amp;vid=01CRU&amp;lang=en_US&amp;offset=0&amp;query=any,contains,991003565919702656","Catalog Record")</f>
        <v>Catalog Record</v>
      </c>
      <c r="AT1080" s="6" t="str">
        <f>HYPERLINK("http://www.worldcat.org/oclc/41156506","WorldCat Record")</f>
        <v>WorldCat Record</v>
      </c>
      <c r="AU1080" s="3" t="s">
        <v>13537</v>
      </c>
      <c r="AV1080" s="3" t="s">
        <v>13538</v>
      </c>
      <c r="AW1080" s="3" t="s">
        <v>13539</v>
      </c>
      <c r="AX1080" s="3" t="s">
        <v>13539</v>
      </c>
      <c r="AY1080" s="3" t="s">
        <v>13540</v>
      </c>
      <c r="AZ1080" s="3" t="s">
        <v>75</v>
      </c>
      <c r="BB1080" s="3" t="s">
        <v>13541</v>
      </c>
      <c r="BC1080" s="3" t="s">
        <v>13542</v>
      </c>
      <c r="BD1080" s="3" t="s">
        <v>13543</v>
      </c>
    </row>
    <row r="1081" spans="1:56" ht="39" customHeight="1" x14ac:dyDescent="0.25">
      <c r="A1081" s="7" t="s">
        <v>58</v>
      </c>
      <c r="B1081" s="2" t="s">
        <v>13544</v>
      </c>
      <c r="C1081" s="2" t="s">
        <v>13545</v>
      </c>
      <c r="D1081" s="2" t="s">
        <v>13546</v>
      </c>
      <c r="F1081" s="3" t="s">
        <v>58</v>
      </c>
      <c r="G1081" s="3" t="s">
        <v>59</v>
      </c>
      <c r="H1081" s="3" t="s">
        <v>58</v>
      </c>
      <c r="I1081" s="3" t="s">
        <v>58</v>
      </c>
      <c r="J1081" s="3" t="s">
        <v>60</v>
      </c>
      <c r="L1081" s="2" t="s">
        <v>13547</v>
      </c>
      <c r="M1081" s="3" t="s">
        <v>670</v>
      </c>
      <c r="O1081" s="3" t="s">
        <v>65</v>
      </c>
      <c r="P1081" s="3" t="s">
        <v>66</v>
      </c>
      <c r="R1081" s="3" t="s">
        <v>68</v>
      </c>
      <c r="S1081" s="4">
        <v>3</v>
      </c>
      <c r="T1081" s="4">
        <v>3</v>
      </c>
      <c r="U1081" s="5" t="s">
        <v>13512</v>
      </c>
      <c r="V1081" s="5" t="s">
        <v>13512</v>
      </c>
      <c r="W1081" s="5" t="s">
        <v>13475</v>
      </c>
      <c r="X1081" s="5" t="s">
        <v>13475</v>
      </c>
      <c r="Y1081" s="4">
        <v>200</v>
      </c>
      <c r="Z1081" s="4">
        <v>133</v>
      </c>
      <c r="AA1081" s="4">
        <v>139</v>
      </c>
      <c r="AB1081" s="4">
        <v>2</v>
      </c>
      <c r="AC1081" s="4">
        <v>2</v>
      </c>
      <c r="AD1081" s="4">
        <v>16</v>
      </c>
      <c r="AE1081" s="4">
        <v>16</v>
      </c>
      <c r="AF1081" s="4">
        <v>2</v>
      </c>
      <c r="AG1081" s="4">
        <v>2</v>
      </c>
      <c r="AH1081" s="4">
        <v>6</v>
      </c>
      <c r="AI1081" s="4">
        <v>6</v>
      </c>
      <c r="AJ1081" s="4">
        <v>10</v>
      </c>
      <c r="AK1081" s="4">
        <v>10</v>
      </c>
      <c r="AL1081" s="4">
        <v>1</v>
      </c>
      <c r="AM1081" s="4">
        <v>1</v>
      </c>
      <c r="AN1081" s="4">
        <v>0</v>
      </c>
      <c r="AO1081" s="4">
        <v>0</v>
      </c>
      <c r="AP1081" s="3" t="s">
        <v>58</v>
      </c>
      <c r="AQ1081" s="3" t="s">
        <v>132</v>
      </c>
      <c r="AR1081" s="6" t="str">
        <f>HYPERLINK("http://catalog.hathitrust.org/Record/101871528","HathiTrust Record")</f>
        <v>HathiTrust Record</v>
      </c>
      <c r="AS1081" s="6" t="str">
        <f>HYPERLINK("https://creighton-primo.hosted.exlibrisgroup.com/primo-explore/search?tab=default_tab&amp;search_scope=EVERYTHING&amp;vid=01CRU&amp;lang=en_US&amp;offset=0&amp;query=any,contains,991002854699702656","Catalog Record")</f>
        <v>Catalog Record</v>
      </c>
      <c r="AT1081" s="6" t="str">
        <f>HYPERLINK("http://www.worldcat.org/oclc/488657","WorldCat Record")</f>
        <v>WorldCat Record</v>
      </c>
      <c r="AU1081" s="3" t="s">
        <v>13548</v>
      </c>
      <c r="AV1081" s="3" t="s">
        <v>13549</v>
      </c>
      <c r="AW1081" s="3" t="s">
        <v>13550</v>
      </c>
      <c r="AX1081" s="3" t="s">
        <v>13550</v>
      </c>
      <c r="AY1081" s="3" t="s">
        <v>13551</v>
      </c>
      <c r="AZ1081" s="3" t="s">
        <v>75</v>
      </c>
      <c r="BB1081" s="3" t="s">
        <v>13552</v>
      </c>
      <c r="BC1081" s="3" t="s">
        <v>13553</v>
      </c>
      <c r="BD1081" s="3" t="s">
        <v>13554</v>
      </c>
    </row>
    <row r="1082" spans="1:56" ht="39" customHeight="1" x14ac:dyDescent="0.25">
      <c r="A1082" s="7" t="s">
        <v>58</v>
      </c>
      <c r="B1082" s="2" t="s">
        <v>13555</v>
      </c>
      <c r="C1082" s="2" t="s">
        <v>13556</v>
      </c>
      <c r="D1082" s="2" t="s">
        <v>13557</v>
      </c>
      <c r="F1082" s="3" t="s">
        <v>58</v>
      </c>
      <c r="G1082" s="3" t="s">
        <v>59</v>
      </c>
      <c r="H1082" s="3" t="s">
        <v>58</v>
      </c>
      <c r="I1082" s="3" t="s">
        <v>58</v>
      </c>
      <c r="J1082" s="3" t="s">
        <v>60</v>
      </c>
      <c r="L1082" s="2" t="s">
        <v>13558</v>
      </c>
      <c r="M1082" s="3" t="s">
        <v>966</v>
      </c>
      <c r="O1082" s="3" t="s">
        <v>65</v>
      </c>
      <c r="P1082" s="3" t="s">
        <v>1246</v>
      </c>
      <c r="Q1082" s="2" t="s">
        <v>13559</v>
      </c>
      <c r="R1082" s="3" t="s">
        <v>68</v>
      </c>
      <c r="S1082" s="4">
        <v>6</v>
      </c>
      <c r="T1082" s="4">
        <v>6</v>
      </c>
      <c r="U1082" s="5" t="s">
        <v>7619</v>
      </c>
      <c r="V1082" s="5" t="s">
        <v>7619</v>
      </c>
      <c r="W1082" s="5" t="s">
        <v>12163</v>
      </c>
      <c r="X1082" s="5" t="s">
        <v>12163</v>
      </c>
      <c r="Y1082" s="4">
        <v>159</v>
      </c>
      <c r="Z1082" s="4">
        <v>113</v>
      </c>
      <c r="AA1082" s="4">
        <v>115</v>
      </c>
      <c r="AB1082" s="4">
        <v>1</v>
      </c>
      <c r="AC1082" s="4">
        <v>1</v>
      </c>
      <c r="AD1082" s="4">
        <v>8</v>
      </c>
      <c r="AE1082" s="4">
        <v>8</v>
      </c>
      <c r="AF1082" s="4">
        <v>3</v>
      </c>
      <c r="AG1082" s="4">
        <v>3</v>
      </c>
      <c r="AH1082" s="4">
        <v>2</v>
      </c>
      <c r="AI1082" s="4">
        <v>2</v>
      </c>
      <c r="AJ1082" s="4">
        <v>5</v>
      </c>
      <c r="AK1082" s="4">
        <v>5</v>
      </c>
      <c r="AL1082" s="4">
        <v>0</v>
      </c>
      <c r="AM1082" s="4">
        <v>0</v>
      </c>
      <c r="AN1082" s="4">
        <v>0</v>
      </c>
      <c r="AO1082" s="4">
        <v>0</v>
      </c>
      <c r="AP1082" s="3" t="s">
        <v>58</v>
      </c>
      <c r="AQ1082" s="3" t="s">
        <v>132</v>
      </c>
      <c r="AR1082" s="6" t="str">
        <f>HYPERLINK("http://catalog.hathitrust.org/Record/100244408","HathiTrust Record")</f>
        <v>HathiTrust Record</v>
      </c>
      <c r="AS1082" s="6" t="str">
        <f>HYPERLINK("https://creighton-primo.hosted.exlibrisgroup.com/primo-explore/search?tab=default_tab&amp;search_scope=EVERYTHING&amp;vid=01CRU&amp;lang=en_US&amp;offset=0&amp;query=any,contains,991002109329702656","Catalog Record")</f>
        <v>Catalog Record</v>
      </c>
      <c r="AT1082" s="6" t="str">
        <f>HYPERLINK("http://www.worldcat.org/oclc/27035356","WorldCat Record")</f>
        <v>WorldCat Record</v>
      </c>
      <c r="AU1082" s="3" t="s">
        <v>13560</v>
      </c>
      <c r="AV1082" s="3" t="s">
        <v>13561</v>
      </c>
      <c r="AW1082" s="3" t="s">
        <v>13562</v>
      </c>
      <c r="AX1082" s="3" t="s">
        <v>13562</v>
      </c>
      <c r="AY1082" s="3" t="s">
        <v>13563</v>
      </c>
      <c r="AZ1082" s="3" t="s">
        <v>75</v>
      </c>
      <c r="BB1082" s="3" t="s">
        <v>13564</v>
      </c>
      <c r="BC1082" s="3" t="s">
        <v>13565</v>
      </c>
      <c r="BD1082" s="3" t="s">
        <v>13566</v>
      </c>
    </row>
    <row r="1083" spans="1:56" ht="39" customHeight="1" x14ac:dyDescent="0.25">
      <c r="A1083" s="7" t="s">
        <v>58</v>
      </c>
      <c r="B1083" s="2" t="s">
        <v>13567</v>
      </c>
      <c r="C1083" s="2" t="s">
        <v>13568</v>
      </c>
      <c r="D1083" s="2" t="s">
        <v>13569</v>
      </c>
      <c r="F1083" s="3" t="s">
        <v>58</v>
      </c>
      <c r="G1083" s="3" t="s">
        <v>59</v>
      </c>
      <c r="H1083" s="3" t="s">
        <v>58</v>
      </c>
      <c r="I1083" s="3" t="s">
        <v>58</v>
      </c>
      <c r="J1083" s="3" t="s">
        <v>60</v>
      </c>
      <c r="K1083" s="2" t="s">
        <v>8884</v>
      </c>
      <c r="L1083" s="2" t="s">
        <v>1635</v>
      </c>
      <c r="M1083" s="3" t="s">
        <v>1371</v>
      </c>
      <c r="O1083" s="3" t="s">
        <v>65</v>
      </c>
      <c r="P1083" s="3" t="s">
        <v>186</v>
      </c>
      <c r="Q1083" s="2" t="s">
        <v>13570</v>
      </c>
      <c r="R1083" s="3" t="s">
        <v>68</v>
      </c>
      <c r="S1083" s="4">
        <v>3</v>
      </c>
      <c r="T1083" s="4">
        <v>3</v>
      </c>
      <c r="U1083" s="5" t="s">
        <v>13571</v>
      </c>
      <c r="V1083" s="5" t="s">
        <v>13571</v>
      </c>
      <c r="W1083" s="5" t="s">
        <v>13475</v>
      </c>
      <c r="X1083" s="5" t="s">
        <v>13475</v>
      </c>
      <c r="Y1083" s="4">
        <v>341</v>
      </c>
      <c r="Z1083" s="4">
        <v>315</v>
      </c>
      <c r="AA1083" s="4">
        <v>446</v>
      </c>
      <c r="AB1083" s="4">
        <v>4</v>
      </c>
      <c r="AC1083" s="4">
        <v>5</v>
      </c>
      <c r="AD1083" s="4">
        <v>37</v>
      </c>
      <c r="AE1083" s="4">
        <v>43</v>
      </c>
      <c r="AF1083" s="4">
        <v>15</v>
      </c>
      <c r="AG1083" s="4">
        <v>17</v>
      </c>
      <c r="AH1083" s="4">
        <v>7</v>
      </c>
      <c r="AI1083" s="4">
        <v>9</v>
      </c>
      <c r="AJ1083" s="4">
        <v>25</v>
      </c>
      <c r="AK1083" s="4">
        <v>26</v>
      </c>
      <c r="AL1083" s="4">
        <v>1</v>
      </c>
      <c r="AM1083" s="4">
        <v>2</v>
      </c>
      <c r="AN1083" s="4">
        <v>0</v>
      </c>
      <c r="AO1083" s="4">
        <v>2</v>
      </c>
      <c r="AP1083" s="3" t="s">
        <v>58</v>
      </c>
      <c r="AQ1083" s="3" t="s">
        <v>132</v>
      </c>
      <c r="AR1083" s="6" t="str">
        <f>HYPERLINK("http://catalog.hathitrust.org/Record/001413440","HathiTrust Record")</f>
        <v>HathiTrust Record</v>
      </c>
      <c r="AS1083" s="6" t="str">
        <f>HYPERLINK("https://creighton-primo.hosted.exlibrisgroup.com/primo-explore/search?tab=default_tab&amp;search_scope=EVERYTHING&amp;vid=01CRU&amp;lang=en_US&amp;offset=0&amp;query=any,contains,991003108669702656","Catalog Record")</f>
        <v>Catalog Record</v>
      </c>
      <c r="AT1083" s="6" t="str">
        <f>HYPERLINK("http://www.worldcat.org/oclc/655670","WorldCat Record")</f>
        <v>WorldCat Record</v>
      </c>
      <c r="AU1083" s="3" t="s">
        <v>13572</v>
      </c>
      <c r="AV1083" s="3" t="s">
        <v>13573</v>
      </c>
      <c r="AW1083" s="3" t="s">
        <v>13574</v>
      </c>
      <c r="AX1083" s="3" t="s">
        <v>13574</v>
      </c>
      <c r="AY1083" s="3" t="s">
        <v>13575</v>
      </c>
      <c r="AZ1083" s="3" t="s">
        <v>75</v>
      </c>
      <c r="BC1083" s="3" t="s">
        <v>13576</v>
      </c>
      <c r="BD1083" s="3" t="s">
        <v>13577</v>
      </c>
    </row>
    <row r="1084" spans="1:56" ht="39" customHeight="1" x14ac:dyDescent="0.25">
      <c r="A1084" s="7" t="s">
        <v>58</v>
      </c>
      <c r="B1084" s="2" t="s">
        <v>13578</v>
      </c>
      <c r="C1084" s="2" t="s">
        <v>13579</v>
      </c>
      <c r="D1084" s="2" t="s">
        <v>13580</v>
      </c>
      <c r="F1084" s="3" t="s">
        <v>58</v>
      </c>
      <c r="G1084" s="3" t="s">
        <v>59</v>
      </c>
      <c r="H1084" s="3" t="s">
        <v>58</v>
      </c>
      <c r="I1084" s="3" t="s">
        <v>58</v>
      </c>
      <c r="J1084" s="3" t="s">
        <v>60</v>
      </c>
      <c r="L1084" s="2" t="s">
        <v>13581</v>
      </c>
      <c r="M1084" s="3" t="s">
        <v>172</v>
      </c>
      <c r="O1084" s="3" t="s">
        <v>65</v>
      </c>
      <c r="P1084" s="3" t="s">
        <v>1246</v>
      </c>
      <c r="R1084" s="3" t="s">
        <v>68</v>
      </c>
      <c r="S1084" s="4">
        <v>3</v>
      </c>
      <c r="T1084" s="4">
        <v>3</v>
      </c>
      <c r="U1084" s="5" t="s">
        <v>13582</v>
      </c>
      <c r="V1084" s="5" t="s">
        <v>13582</v>
      </c>
      <c r="W1084" s="5" t="s">
        <v>13475</v>
      </c>
      <c r="X1084" s="5" t="s">
        <v>13475</v>
      </c>
      <c r="Y1084" s="4">
        <v>129</v>
      </c>
      <c r="Z1084" s="4">
        <v>114</v>
      </c>
      <c r="AA1084" s="4">
        <v>114</v>
      </c>
      <c r="AB1084" s="4">
        <v>2</v>
      </c>
      <c r="AC1084" s="4">
        <v>2</v>
      </c>
      <c r="AD1084" s="4">
        <v>16</v>
      </c>
      <c r="AE1084" s="4">
        <v>16</v>
      </c>
      <c r="AF1084" s="4">
        <v>3</v>
      </c>
      <c r="AG1084" s="4">
        <v>3</v>
      </c>
      <c r="AH1084" s="4">
        <v>4</v>
      </c>
      <c r="AI1084" s="4">
        <v>4</v>
      </c>
      <c r="AJ1084" s="4">
        <v>13</v>
      </c>
      <c r="AK1084" s="4">
        <v>13</v>
      </c>
      <c r="AL1084" s="4">
        <v>0</v>
      </c>
      <c r="AM1084" s="4">
        <v>0</v>
      </c>
      <c r="AN1084" s="4">
        <v>0</v>
      </c>
      <c r="AO1084" s="4">
        <v>0</v>
      </c>
      <c r="AP1084" s="3" t="s">
        <v>58</v>
      </c>
      <c r="AQ1084" s="3" t="s">
        <v>58</v>
      </c>
      <c r="AS1084" s="6" t="str">
        <f>HYPERLINK("https://creighton-primo.hosted.exlibrisgroup.com/primo-explore/search?tab=default_tab&amp;search_scope=EVERYTHING&amp;vid=01CRU&amp;lang=en_US&amp;offset=0&amp;query=any,contains,991000805559702656","Catalog Record")</f>
        <v>Catalog Record</v>
      </c>
      <c r="AT1084" s="6" t="str">
        <f>HYPERLINK("http://www.worldcat.org/oclc/140599","WorldCat Record")</f>
        <v>WorldCat Record</v>
      </c>
      <c r="AU1084" s="3" t="s">
        <v>13583</v>
      </c>
      <c r="AV1084" s="3" t="s">
        <v>13584</v>
      </c>
      <c r="AW1084" s="3" t="s">
        <v>13585</v>
      </c>
      <c r="AX1084" s="3" t="s">
        <v>13585</v>
      </c>
      <c r="AY1084" s="3" t="s">
        <v>13586</v>
      </c>
      <c r="AZ1084" s="3" t="s">
        <v>75</v>
      </c>
      <c r="BC1084" s="3" t="s">
        <v>13587</v>
      </c>
      <c r="BD1084" s="3" t="s">
        <v>13588</v>
      </c>
    </row>
    <row r="1085" spans="1:56" ht="39" customHeight="1" x14ac:dyDescent="0.25">
      <c r="A1085" s="7" t="s">
        <v>58</v>
      </c>
      <c r="B1085" s="2" t="s">
        <v>13589</v>
      </c>
      <c r="C1085" s="2" t="s">
        <v>13590</v>
      </c>
      <c r="D1085" s="2" t="s">
        <v>13591</v>
      </c>
      <c r="F1085" s="3" t="s">
        <v>58</v>
      </c>
      <c r="G1085" s="3" t="s">
        <v>59</v>
      </c>
      <c r="H1085" s="3" t="s">
        <v>58</v>
      </c>
      <c r="I1085" s="3" t="s">
        <v>58</v>
      </c>
      <c r="J1085" s="3" t="s">
        <v>60</v>
      </c>
      <c r="K1085" s="2" t="s">
        <v>13592</v>
      </c>
      <c r="L1085" s="2" t="s">
        <v>13593</v>
      </c>
      <c r="M1085" s="3" t="s">
        <v>98</v>
      </c>
      <c r="O1085" s="3" t="s">
        <v>65</v>
      </c>
      <c r="P1085" s="3" t="s">
        <v>954</v>
      </c>
      <c r="R1085" s="3" t="s">
        <v>68</v>
      </c>
      <c r="S1085" s="4">
        <v>5</v>
      </c>
      <c r="T1085" s="4">
        <v>5</v>
      </c>
      <c r="U1085" s="5" t="s">
        <v>13582</v>
      </c>
      <c r="V1085" s="5" t="s">
        <v>13582</v>
      </c>
      <c r="W1085" s="5" t="s">
        <v>13475</v>
      </c>
      <c r="X1085" s="5" t="s">
        <v>13475</v>
      </c>
      <c r="Y1085" s="4">
        <v>62</v>
      </c>
      <c r="Z1085" s="4">
        <v>60</v>
      </c>
      <c r="AA1085" s="4">
        <v>60</v>
      </c>
      <c r="AB1085" s="4">
        <v>1</v>
      </c>
      <c r="AC1085" s="4">
        <v>1</v>
      </c>
      <c r="AD1085" s="4">
        <v>9</v>
      </c>
      <c r="AE1085" s="4">
        <v>9</v>
      </c>
      <c r="AF1085" s="4">
        <v>1</v>
      </c>
      <c r="AG1085" s="4">
        <v>1</v>
      </c>
      <c r="AH1085" s="4">
        <v>4</v>
      </c>
      <c r="AI1085" s="4">
        <v>4</v>
      </c>
      <c r="AJ1085" s="4">
        <v>7</v>
      </c>
      <c r="AK1085" s="4">
        <v>7</v>
      </c>
      <c r="AL1085" s="4">
        <v>0</v>
      </c>
      <c r="AM1085" s="4">
        <v>0</v>
      </c>
      <c r="AN1085" s="4">
        <v>0</v>
      </c>
      <c r="AO1085" s="4">
        <v>0</v>
      </c>
      <c r="AP1085" s="3" t="s">
        <v>58</v>
      </c>
      <c r="AQ1085" s="3" t="s">
        <v>58</v>
      </c>
      <c r="AS1085" s="6" t="str">
        <f>HYPERLINK("https://creighton-primo.hosted.exlibrisgroup.com/primo-explore/search?tab=default_tab&amp;search_scope=EVERYTHING&amp;vid=01CRU&amp;lang=en_US&amp;offset=0&amp;query=any,contains,991003632089702656","Catalog Record")</f>
        <v>Catalog Record</v>
      </c>
      <c r="AT1085" s="6" t="str">
        <f>HYPERLINK("http://www.worldcat.org/oclc/1225719","WorldCat Record")</f>
        <v>WorldCat Record</v>
      </c>
      <c r="AU1085" s="3" t="s">
        <v>13594</v>
      </c>
      <c r="AV1085" s="3" t="s">
        <v>13595</v>
      </c>
      <c r="AW1085" s="3" t="s">
        <v>13596</v>
      </c>
      <c r="AX1085" s="3" t="s">
        <v>13596</v>
      </c>
      <c r="AY1085" s="3" t="s">
        <v>13597</v>
      </c>
      <c r="AZ1085" s="3" t="s">
        <v>75</v>
      </c>
      <c r="BC1085" s="3" t="s">
        <v>13598</v>
      </c>
      <c r="BD1085" s="3" t="s">
        <v>13599</v>
      </c>
    </row>
    <row r="1086" spans="1:56" ht="39" customHeight="1" x14ac:dyDescent="0.25">
      <c r="A1086" s="7" t="s">
        <v>58</v>
      </c>
      <c r="B1086" s="2" t="s">
        <v>13600</v>
      </c>
      <c r="C1086" s="2" t="s">
        <v>13601</v>
      </c>
      <c r="D1086" s="2" t="s">
        <v>13602</v>
      </c>
      <c r="F1086" s="3" t="s">
        <v>58</v>
      </c>
      <c r="G1086" s="3" t="s">
        <v>59</v>
      </c>
      <c r="H1086" s="3" t="s">
        <v>58</v>
      </c>
      <c r="I1086" s="3" t="s">
        <v>58</v>
      </c>
      <c r="J1086" s="3" t="s">
        <v>60</v>
      </c>
      <c r="K1086" s="2" t="s">
        <v>13603</v>
      </c>
      <c r="L1086" s="2" t="s">
        <v>13604</v>
      </c>
      <c r="M1086" s="3" t="s">
        <v>781</v>
      </c>
      <c r="O1086" s="3" t="s">
        <v>65</v>
      </c>
      <c r="P1086" s="3" t="s">
        <v>1358</v>
      </c>
      <c r="Q1086" s="2" t="s">
        <v>13605</v>
      </c>
      <c r="R1086" s="3" t="s">
        <v>68</v>
      </c>
      <c r="S1086" s="4">
        <v>4</v>
      </c>
      <c r="T1086" s="4">
        <v>4</v>
      </c>
      <c r="U1086" s="5" t="s">
        <v>13582</v>
      </c>
      <c r="V1086" s="5" t="s">
        <v>13582</v>
      </c>
      <c r="W1086" s="5" t="s">
        <v>13475</v>
      </c>
      <c r="X1086" s="5" t="s">
        <v>13475</v>
      </c>
      <c r="Y1086" s="4">
        <v>231</v>
      </c>
      <c r="Z1086" s="4">
        <v>196</v>
      </c>
      <c r="AA1086" s="4">
        <v>202</v>
      </c>
      <c r="AB1086" s="4">
        <v>2</v>
      </c>
      <c r="AC1086" s="4">
        <v>2</v>
      </c>
      <c r="AD1086" s="4">
        <v>21</v>
      </c>
      <c r="AE1086" s="4">
        <v>21</v>
      </c>
      <c r="AF1086" s="4">
        <v>8</v>
      </c>
      <c r="AG1086" s="4">
        <v>8</v>
      </c>
      <c r="AH1086" s="4">
        <v>5</v>
      </c>
      <c r="AI1086" s="4">
        <v>5</v>
      </c>
      <c r="AJ1086" s="4">
        <v>16</v>
      </c>
      <c r="AK1086" s="4">
        <v>16</v>
      </c>
      <c r="AL1086" s="4">
        <v>0</v>
      </c>
      <c r="AM1086" s="4">
        <v>0</v>
      </c>
      <c r="AN1086" s="4">
        <v>0</v>
      </c>
      <c r="AO1086" s="4">
        <v>0</v>
      </c>
      <c r="AP1086" s="3" t="s">
        <v>58</v>
      </c>
      <c r="AQ1086" s="3" t="s">
        <v>132</v>
      </c>
      <c r="AR1086" s="6" t="str">
        <f>HYPERLINK("http://catalog.hathitrust.org/Record/000817310","HathiTrust Record")</f>
        <v>HathiTrust Record</v>
      </c>
      <c r="AS1086" s="6" t="str">
        <f>HYPERLINK("https://creighton-primo.hosted.exlibrisgroup.com/primo-explore/search?tab=default_tab&amp;search_scope=EVERYTHING&amp;vid=01CRU&amp;lang=en_US&amp;offset=0&amp;query=any,contains,991000638109702656","Catalog Record")</f>
        <v>Catalog Record</v>
      </c>
      <c r="AT1086" s="6" t="str">
        <f>HYPERLINK("http://www.worldcat.org/oclc/12084023","WorldCat Record")</f>
        <v>WorldCat Record</v>
      </c>
      <c r="AU1086" s="3" t="s">
        <v>13606</v>
      </c>
      <c r="AV1086" s="3" t="s">
        <v>13607</v>
      </c>
      <c r="AW1086" s="3" t="s">
        <v>13608</v>
      </c>
      <c r="AX1086" s="3" t="s">
        <v>13608</v>
      </c>
      <c r="AY1086" s="3" t="s">
        <v>13609</v>
      </c>
      <c r="AZ1086" s="3" t="s">
        <v>75</v>
      </c>
      <c r="BB1086" s="3" t="s">
        <v>13610</v>
      </c>
      <c r="BC1086" s="3" t="s">
        <v>13611</v>
      </c>
      <c r="BD1086" s="3" t="s">
        <v>13612</v>
      </c>
    </row>
    <row r="1087" spans="1:56" ht="39" customHeight="1" x14ac:dyDescent="0.25">
      <c r="A1087" s="7" t="s">
        <v>58</v>
      </c>
      <c r="B1087" s="2" t="s">
        <v>13613</v>
      </c>
      <c r="C1087" s="2" t="s">
        <v>13614</v>
      </c>
      <c r="D1087" s="2" t="s">
        <v>13615</v>
      </c>
      <c r="F1087" s="3" t="s">
        <v>58</v>
      </c>
      <c r="G1087" s="3" t="s">
        <v>59</v>
      </c>
      <c r="H1087" s="3" t="s">
        <v>58</v>
      </c>
      <c r="I1087" s="3" t="s">
        <v>58</v>
      </c>
      <c r="J1087" s="3" t="s">
        <v>60</v>
      </c>
      <c r="K1087" s="2" t="s">
        <v>13616</v>
      </c>
      <c r="L1087" s="2" t="s">
        <v>13617</v>
      </c>
      <c r="M1087" s="3" t="s">
        <v>427</v>
      </c>
      <c r="O1087" s="3" t="s">
        <v>65</v>
      </c>
      <c r="P1087" s="3" t="s">
        <v>113</v>
      </c>
      <c r="R1087" s="3" t="s">
        <v>68</v>
      </c>
      <c r="S1087" s="4">
        <v>1</v>
      </c>
      <c r="T1087" s="4">
        <v>1</v>
      </c>
      <c r="U1087" s="5" t="s">
        <v>7741</v>
      </c>
      <c r="V1087" s="5" t="s">
        <v>7741</v>
      </c>
      <c r="W1087" s="5" t="s">
        <v>13475</v>
      </c>
      <c r="X1087" s="5" t="s">
        <v>13475</v>
      </c>
      <c r="Y1087" s="4">
        <v>53</v>
      </c>
      <c r="Z1087" s="4">
        <v>51</v>
      </c>
      <c r="AA1087" s="4">
        <v>51</v>
      </c>
      <c r="AB1087" s="4">
        <v>2</v>
      </c>
      <c r="AC1087" s="4">
        <v>2</v>
      </c>
      <c r="AD1087" s="4">
        <v>10</v>
      </c>
      <c r="AE1087" s="4">
        <v>10</v>
      </c>
      <c r="AF1087" s="4">
        <v>2</v>
      </c>
      <c r="AG1087" s="4">
        <v>2</v>
      </c>
      <c r="AH1087" s="4">
        <v>3</v>
      </c>
      <c r="AI1087" s="4">
        <v>3</v>
      </c>
      <c r="AJ1087" s="4">
        <v>8</v>
      </c>
      <c r="AK1087" s="4">
        <v>8</v>
      </c>
      <c r="AL1087" s="4">
        <v>0</v>
      </c>
      <c r="AM1087" s="4">
        <v>0</v>
      </c>
      <c r="AN1087" s="4">
        <v>0</v>
      </c>
      <c r="AO1087" s="4">
        <v>0</v>
      </c>
      <c r="AP1087" s="3" t="s">
        <v>58</v>
      </c>
      <c r="AQ1087" s="3" t="s">
        <v>58</v>
      </c>
      <c r="AS1087" s="6" t="str">
        <f>HYPERLINK("https://creighton-primo.hosted.exlibrisgroup.com/primo-explore/search?tab=default_tab&amp;search_scope=EVERYTHING&amp;vid=01CRU&amp;lang=en_US&amp;offset=0&amp;query=any,contains,991004854679702656","Catalog Record")</f>
        <v>Catalog Record</v>
      </c>
      <c r="AT1087" s="6" t="str">
        <f>HYPERLINK("http://www.worldcat.org/oclc/5665770","WorldCat Record")</f>
        <v>WorldCat Record</v>
      </c>
      <c r="AU1087" s="3" t="s">
        <v>13618</v>
      </c>
      <c r="AV1087" s="3" t="s">
        <v>13619</v>
      </c>
      <c r="AW1087" s="3" t="s">
        <v>13620</v>
      </c>
      <c r="AX1087" s="3" t="s">
        <v>13620</v>
      </c>
      <c r="AY1087" s="3" t="s">
        <v>13621</v>
      </c>
      <c r="AZ1087" s="3" t="s">
        <v>75</v>
      </c>
      <c r="BC1087" s="3" t="s">
        <v>13622</v>
      </c>
      <c r="BD1087" s="3" t="s">
        <v>13623</v>
      </c>
    </row>
    <row r="1088" spans="1:56" ht="39" customHeight="1" x14ac:dyDescent="0.25">
      <c r="A1088" s="7" t="s">
        <v>58</v>
      </c>
      <c r="B1088" s="2" t="s">
        <v>13624</v>
      </c>
      <c r="C1088" s="2" t="s">
        <v>13625</v>
      </c>
      <c r="D1088" s="2" t="s">
        <v>13626</v>
      </c>
      <c r="F1088" s="3" t="s">
        <v>58</v>
      </c>
      <c r="G1088" s="3" t="s">
        <v>59</v>
      </c>
      <c r="H1088" s="3" t="s">
        <v>58</v>
      </c>
      <c r="I1088" s="3" t="s">
        <v>58</v>
      </c>
      <c r="J1088" s="3" t="s">
        <v>60</v>
      </c>
      <c r="K1088" s="2" t="s">
        <v>13627</v>
      </c>
      <c r="L1088" s="2" t="s">
        <v>8559</v>
      </c>
      <c r="M1088" s="3" t="s">
        <v>185</v>
      </c>
      <c r="N1088" s="2" t="s">
        <v>476</v>
      </c>
      <c r="O1088" s="3" t="s">
        <v>65</v>
      </c>
      <c r="P1088" s="3" t="s">
        <v>477</v>
      </c>
      <c r="R1088" s="3" t="s">
        <v>68</v>
      </c>
      <c r="S1088" s="4">
        <v>1</v>
      </c>
      <c r="T1088" s="4">
        <v>1</v>
      </c>
      <c r="U1088" s="5" t="s">
        <v>8164</v>
      </c>
      <c r="V1088" s="5" t="s">
        <v>8164</v>
      </c>
      <c r="W1088" s="5" t="s">
        <v>8164</v>
      </c>
      <c r="X1088" s="5" t="s">
        <v>8164</v>
      </c>
      <c r="Y1088" s="4">
        <v>222</v>
      </c>
      <c r="Z1088" s="4">
        <v>192</v>
      </c>
      <c r="AA1088" s="4">
        <v>192</v>
      </c>
      <c r="AB1088" s="4">
        <v>4</v>
      </c>
      <c r="AC1088" s="4">
        <v>4</v>
      </c>
      <c r="AD1088" s="4">
        <v>15</v>
      </c>
      <c r="AE1088" s="4">
        <v>15</v>
      </c>
      <c r="AF1088" s="4">
        <v>4</v>
      </c>
      <c r="AG1088" s="4">
        <v>4</v>
      </c>
      <c r="AH1088" s="4">
        <v>4</v>
      </c>
      <c r="AI1088" s="4">
        <v>4</v>
      </c>
      <c r="AJ1088" s="4">
        <v>8</v>
      </c>
      <c r="AK1088" s="4">
        <v>8</v>
      </c>
      <c r="AL1088" s="4">
        <v>3</v>
      </c>
      <c r="AM1088" s="4">
        <v>3</v>
      </c>
      <c r="AN1088" s="4">
        <v>0</v>
      </c>
      <c r="AO1088" s="4">
        <v>0</v>
      </c>
      <c r="AP1088" s="3" t="s">
        <v>58</v>
      </c>
      <c r="AQ1088" s="3" t="s">
        <v>58</v>
      </c>
      <c r="AS1088" s="6" t="str">
        <f>HYPERLINK("https://creighton-primo.hosted.exlibrisgroup.com/primo-explore/search?tab=default_tab&amp;search_scope=EVERYTHING&amp;vid=01CRU&amp;lang=en_US&amp;offset=0&amp;query=any,contains,991004794399702656","Catalog Record")</f>
        <v>Catalog Record</v>
      </c>
      <c r="AT1088" s="6" t="str">
        <f>HYPERLINK("http://www.worldcat.org/oclc/43615570","WorldCat Record")</f>
        <v>WorldCat Record</v>
      </c>
      <c r="AU1088" s="3" t="s">
        <v>13628</v>
      </c>
      <c r="AV1088" s="3" t="s">
        <v>13629</v>
      </c>
      <c r="AW1088" s="3" t="s">
        <v>13630</v>
      </c>
      <c r="AX1088" s="3" t="s">
        <v>13630</v>
      </c>
      <c r="AY1088" s="3" t="s">
        <v>13631</v>
      </c>
      <c r="AZ1088" s="3" t="s">
        <v>75</v>
      </c>
      <c r="BB1088" s="3" t="s">
        <v>13632</v>
      </c>
      <c r="BC1088" s="3" t="s">
        <v>13633</v>
      </c>
      <c r="BD1088" s="3" t="s">
        <v>13634</v>
      </c>
    </row>
    <row r="1089" spans="1:56" ht="39" customHeight="1" x14ac:dyDescent="0.25">
      <c r="A1089" s="7" t="s">
        <v>58</v>
      </c>
      <c r="B1089" s="2" t="s">
        <v>13635</v>
      </c>
      <c r="C1089" s="2" t="s">
        <v>13636</v>
      </c>
      <c r="D1089" s="2" t="s">
        <v>13637</v>
      </c>
      <c r="F1089" s="3" t="s">
        <v>58</v>
      </c>
      <c r="G1089" s="3" t="s">
        <v>59</v>
      </c>
      <c r="H1089" s="3" t="s">
        <v>58</v>
      </c>
      <c r="I1089" s="3" t="s">
        <v>58</v>
      </c>
      <c r="J1089" s="3" t="s">
        <v>60</v>
      </c>
      <c r="K1089" s="2" t="s">
        <v>13638</v>
      </c>
      <c r="L1089" s="2" t="s">
        <v>13639</v>
      </c>
      <c r="M1089" s="3" t="s">
        <v>781</v>
      </c>
      <c r="O1089" s="3" t="s">
        <v>65</v>
      </c>
      <c r="P1089" s="3" t="s">
        <v>1345</v>
      </c>
      <c r="R1089" s="3" t="s">
        <v>68</v>
      </c>
      <c r="S1089" s="4">
        <v>6</v>
      </c>
      <c r="T1089" s="4">
        <v>6</v>
      </c>
      <c r="U1089" s="5" t="s">
        <v>13512</v>
      </c>
      <c r="V1089" s="5" t="s">
        <v>13512</v>
      </c>
      <c r="W1089" s="5" t="s">
        <v>8224</v>
      </c>
      <c r="X1089" s="5" t="s">
        <v>8224</v>
      </c>
      <c r="Y1089" s="4">
        <v>78</v>
      </c>
      <c r="Z1089" s="4">
        <v>56</v>
      </c>
      <c r="AA1089" s="4">
        <v>56</v>
      </c>
      <c r="AB1089" s="4">
        <v>2</v>
      </c>
      <c r="AC1089" s="4">
        <v>2</v>
      </c>
      <c r="AD1089" s="4">
        <v>2</v>
      </c>
      <c r="AE1089" s="4">
        <v>2</v>
      </c>
      <c r="AF1089" s="4">
        <v>1</v>
      </c>
      <c r="AG1089" s="4">
        <v>1</v>
      </c>
      <c r="AH1089" s="4">
        <v>0</v>
      </c>
      <c r="AI1089" s="4">
        <v>0</v>
      </c>
      <c r="AJ1089" s="4">
        <v>0</v>
      </c>
      <c r="AK1089" s="4">
        <v>0</v>
      </c>
      <c r="AL1089" s="4">
        <v>1</v>
      </c>
      <c r="AM1089" s="4">
        <v>1</v>
      </c>
      <c r="AN1089" s="4">
        <v>0</v>
      </c>
      <c r="AO1089" s="4">
        <v>0</v>
      </c>
      <c r="AP1089" s="3" t="s">
        <v>58</v>
      </c>
      <c r="AQ1089" s="3" t="s">
        <v>58</v>
      </c>
      <c r="AS1089" s="6" t="str">
        <f>HYPERLINK("https://creighton-primo.hosted.exlibrisgroup.com/primo-explore/search?tab=default_tab&amp;search_scope=EVERYTHING&amp;vid=01CRU&amp;lang=en_US&amp;offset=0&amp;query=any,contains,991000475589702656","Catalog Record")</f>
        <v>Catalog Record</v>
      </c>
      <c r="AT1089" s="6" t="str">
        <f>HYPERLINK("http://www.worldcat.org/oclc/11029670","WorldCat Record")</f>
        <v>WorldCat Record</v>
      </c>
      <c r="AU1089" s="3" t="s">
        <v>13640</v>
      </c>
      <c r="AV1089" s="3" t="s">
        <v>13641</v>
      </c>
      <c r="AW1089" s="3" t="s">
        <v>13642</v>
      </c>
      <c r="AX1089" s="3" t="s">
        <v>13642</v>
      </c>
      <c r="AY1089" s="3" t="s">
        <v>13643</v>
      </c>
      <c r="AZ1089" s="3" t="s">
        <v>75</v>
      </c>
      <c r="BB1089" s="3" t="s">
        <v>13644</v>
      </c>
      <c r="BC1089" s="3" t="s">
        <v>13645</v>
      </c>
      <c r="BD1089" s="3" t="s">
        <v>13646</v>
      </c>
    </row>
    <row r="1090" spans="1:56" ht="39" customHeight="1" x14ac:dyDescent="0.25">
      <c r="A1090" s="7" t="s">
        <v>58</v>
      </c>
      <c r="B1090" s="2" t="s">
        <v>13647</v>
      </c>
      <c r="C1090" s="2" t="s">
        <v>13648</v>
      </c>
      <c r="D1090" s="2" t="s">
        <v>13649</v>
      </c>
      <c r="F1090" s="3" t="s">
        <v>58</v>
      </c>
      <c r="G1090" s="3" t="s">
        <v>59</v>
      </c>
      <c r="H1090" s="3" t="s">
        <v>58</v>
      </c>
      <c r="I1090" s="3" t="s">
        <v>58</v>
      </c>
      <c r="J1090" s="3" t="s">
        <v>60</v>
      </c>
      <c r="K1090" s="2" t="s">
        <v>5078</v>
      </c>
      <c r="L1090" s="2" t="s">
        <v>13650</v>
      </c>
      <c r="M1090" s="3" t="s">
        <v>144</v>
      </c>
      <c r="O1090" s="3" t="s">
        <v>65</v>
      </c>
      <c r="P1090" s="3" t="s">
        <v>1358</v>
      </c>
      <c r="R1090" s="3" t="s">
        <v>68</v>
      </c>
      <c r="S1090" s="4">
        <v>3</v>
      </c>
      <c r="T1090" s="4">
        <v>3</v>
      </c>
      <c r="U1090" s="5" t="s">
        <v>13651</v>
      </c>
      <c r="V1090" s="5" t="s">
        <v>13651</v>
      </c>
      <c r="W1090" s="5" t="s">
        <v>12463</v>
      </c>
      <c r="X1090" s="5" t="s">
        <v>12463</v>
      </c>
      <c r="Y1090" s="4">
        <v>298</v>
      </c>
      <c r="Z1090" s="4">
        <v>278</v>
      </c>
      <c r="AA1090" s="4">
        <v>280</v>
      </c>
      <c r="AB1090" s="4">
        <v>4</v>
      </c>
      <c r="AC1090" s="4">
        <v>4</v>
      </c>
      <c r="AD1090" s="4">
        <v>26</v>
      </c>
      <c r="AE1090" s="4">
        <v>26</v>
      </c>
      <c r="AF1090" s="4">
        <v>6</v>
      </c>
      <c r="AG1090" s="4">
        <v>6</v>
      </c>
      <c r="AH1090" s="4">
        <v>6</v>
      </c>
      <c r="AI1090" s="4">
        <v>6</v>
      </c>
      <c r="AJ1090" s="4">
        <v>17</v>
      </c>
      <c r="AK1090" s="4">
        <v>17</v>
      </c>
      <c r="AL1090" s="4">
        <v>3</v>
      </c>
      <c r="AM1090" s="4">
        <v>3</v>
      </c>
      <c r="AN1090" s="4">
        <v>0</v>
      </c>
      <c r="AO1090" s="4">
        <v>0</v>
      </c>
      <c r="AP1090" s="3" t="s">
        <v>58</v>
      </c>
      <c r="AQ1090" s="3" t="s">
        <v>132</v>
      </c>
      <c r="AR1090" s="6" t="str">
        <f>HYPERLINK("http://catalog.hathitrust.org/Record/000083389","HathiTrust Record")</f>
        <v>HathiTrust Record</v>
      </c>
      <c r="AS1090" s="6" t="str">
        <f>HYPERLINK("https://creighton-primo.hosted.exlibrisgroup.com/primo-explore/search?tab=default_tab&amp;search_scope=EVERYTHING&amp;vid=01CRU&amp;lang=en_US&amp;offset=0&amp;query=any,contains,991004630379702656","Catalog Record")</f>
        <v>Catalog Record</v>
      </c>
      <c r="AT1090" s="6" t="str">
        <f>HYPERLINK("http://www.worldcat.org/oclc/4366494","WorldCat Record")</f>
        <v>WorldCat Record</v>
      </c>
      <c r="AU1090" s="3" t="s">
        <v>13652</v>
      </c>
      <c r="AV1090" s="3" t="s">
        <v>13653</v>
      </c>
      <c r="AW1090" s="3" t="s">
        <v>13654</v>
      </c>
      <c r="AX1090" s="3" t="s">
        <v>13654</v>
      </c>
      <c r="AY1090" s="3" t="s">
        <v>13655</v>
      </c>
      <c r="AZ1090" s="3" t="s">
        <v>75</v>
      </c>
      <c r="BC1090" s="3" t="s">
        <v>13656</v>
      </c>
      <c r="BD1090" s="3" t="s">
        <v>13657</v>
      </c>
    </row>
    <row r="1091" spans="1:56" ht="39" customHeight="1" x14ac:dyDescent="0.25">
      <c r="A1091" s="7" t="s">
        <v>58</v>
      </c>
      <c r="B1091" s="2" t="s">
        <v>13658</v>
      </c>
      <c r="C1091" s="2" t="s">
        <v>13659</v>
      </c>
      <c r="D1091" s="2" t="s">
        <v>13660</v>
      </c>
      <c r="F1091" s="3" t="s">
        <v>58</v>
      </c>
      <c r="G1091" s="3" t="s">
        <v>59</v>
      </c>
      <c r="H1091" s="3" t="s">
        <v>58</v>
      </c>
      <c r="I1091" s="3" t="s">
        <v>58</v>
      </c>
      <c r="J1091" s="3" t="s">
        <v>60</v>
      </c>
      <c r="K1091" s="2" t="s">
        <v>5962</v>
      </c>
      <c r="L1091" s="2" t="s">
        <v>13661</v>
      </c>
      <c r="M1091" s="3" t="s">
        <v>759</v>
      </c>
      <c r="O1091" s="3" t="s">
        <v>65</v>
      </c>
      <c r="P1091" s="3" t="s">
        <v>84</v>
      </c>
      <c r="Q1091" s="2" t="s">
        <v>13662</v>
      </c>
      <c r="R1091" s="3" t="s">
        <v>68</v>
      </c>
      <c r="S1091" s="4">
        <v>4</v>
      </c>
      <c r="T1091" s="4">
        <v>4</v>
      </c>
      <c r="U1091" s="5" t="s">
        <v>13663</v>
      </c>
      <c r="V1091" s="5" t="s">
        <v>13663</v>
      </c>
      <c r="W1091" s="5" t="s">
        <v>13664</v>
      </c>
      <c r="X1091" s="5" t="s">
        <v>13664</v>
      </c>
      <c r="Y1091" s="4">
        <v>566</v>
      </c>
      <c r="Z1091" s="4">
        <v>513</v>
      </c>
      <c r="AA1091" s="4">
        <v>764</v>
      </c>
      <c r="AB1091" s="4">
        <v>5</v>
      </c>
      <c r="AC1091" s="4">
        <v>6</v>
      </c>
      <c r="AD1091" s="4">
        <v>27</v>
      </c>
      <c r="AE1091" s="4">
        <v>34</v>
      </c>
      <c r="AF1091" s="4">
        <v>9</v>
      </c>
      <c r="AG1091" s="4">
        <v>13</v>
      </c>
      <c r="AH1091" s="4">
        <v>9</v>
      </c>
      <c r="AI1091" s="4">
        <v>9</v>
      </c>
      <c r="AJ1091" s="4">
        <v>13</v>
      </c>
      <c r="AK1091" s="4">
        <v>16</v>
      </c>
      <c r="AL1091" s="4">
        <v>4</v>
      </c>
      <c r="AM1091" s="4">
        <v>5</v>
      </c>
      <c r="AN1091" s="4">
        <v>0</v>
      </c>
      <c r="AO1091" s="4">
        <v>0</v>
      </c>
      <c r="AP1091" s="3" t="s">
        <v>58</v>
      </c>
      <c r="AQ1091" s="3" t="s">
        <v>132</v>
      </c>
      <c r="AR1091" s="6" t="str">
        <f>HYPERLINK("http://catalog.hathitrust.org/Record/004416495","HathiTrust Record")</f>
        <v>HathiTrust Record</v>
      </c>
      <c r="AS1091" s="6" t="str">
        <f>HYPERLINK("https://creighton-primo.hosted.exlibrisgroup.com/primo-explore/search?tab=default_tab&amp;search_scope=EVERYTHING&amp;vid=01CRU&amp;lang=en_US&amp;offset=0&amp;query=any,contains,991001251249702656","Catalog Record")</f>
        <v>Catalog Record</v>
      </c>
      <c r="AT1091" s="6" t="str">
        <f>HYPERLINK("http://www.worldcat.org/oclc/17676763","WorldCat Record")</f>
        <v>WorldCat Record</v>
      </c>
      <c r="AU1091" s="3" t="s">
        <v>13665</v>
      </c>
      <c r="AV1091" s="3" t="s">
        <v>13666</v>
      </c>
      <c r="AW1091" s="3" t="s">
        <v>13667</v>
      </c>
      <c r="AX1091" s="3" t="s">
        <v>13667</v>
      </c>
      <c r="AY1091" s="3" t="s">
        <v>13668</v>
      </c>
      <c r="AZ1091" s="3" t="s">
        <v>75</v>
      </c>
      <c r="BB1091" s="3" t="s">
        <v>13669</v>
      </c>
      <c r="BC1091" s="3" t="s">
        <v>13670</v>
      </c>
      <c r="BD1091" s="3" t="s">
        <v>13671</v>
      </c>
    </row>
    <row r="1092" spans="1:56" ht="39" customHeight="1" x14ac:dyDescent="0.25">
      <c r="A1092" s="7" t="s">
        <v>58</v>
      </c>
      <c r="B1092" s="2" t="s">
        <v>13672</v>
      </c>
      <c r="C1092" s="2" t="s">
        <v>13673</v>
      </c>
      <c r="D1092" s="2" t="s">
        <v>13674</v>
      </c>
      <c r="F1092" s="3" t="s">
        <v>58</v>
      </c>
      <c r="G1092" s="3" t="s">
        <v>59</v>
      </c>
      <c r="H1092" s="3" t="s">
        <v>58</v>
      </c>
      <c r="I1092" s="3" t="s">
        <v>58</v>
      </c>
      <c r="J1092" s="3" t="s">
        <v>60</v>
      </c>
      <c r="K1092" s="2" t="s">
        <v>13675</v>
      </c>
      <c r="L1092" s="2" t="s">
        <v>13676</v>
      </c>
      <c r="M1092" s="3" t="s">
        <v>289</v>
      </c>
      <c r="O1092" s="3" t="s">
        <v>65</v>
      </c>
      <c r="P1092" s="3" t="s">
        <v>186</v>
      </c>
      <c r="R1092" s="3" t="s">
        <v>68</v>
      </c>
      <c r="S1092" s="4">
        <v>1</v>
      </c>
      <c r="T1092" s="4">
        <v>1</v>
      </c>
      <c r="U1092" s="5" t="s">
        <v>13677</v>
      </c>
      <c r="V1092" s="5" t="s">
        <v>13677</v>
      </c>
      <c r="W1092" s="5" t="s">
        <v>13475</v>
      </c>
      <c r="X1092" s="5" t="s">
        <v>13475</v>
      </c>
      <c r="Y1092" s="4">
        <v>283</v>
      </c>
      <c r="Z1092" s="4">
        <v>222</v>
      </c>
      <c r="AA1092" s="4">
        <v>226</v>
      </c>
      <c r="AB1092" s="4">
        <v>4</v>
      </c>
      <c r="AC1092" s="4">
        <v>4</v>
      </c>
      <c r="AD1092" s="4">
        <v>20</v>
      </c>
      <c r="AE1092" s="4">
        <v>20</v>
      </c>
      <c r="AF1092" s="4">
        <v>4</v>
      </c>
      <c r="AG1092" s="4">
        <v>4</v>
      </c>
      <c r="AH1092" s="4">
        <v>7</v>
      </c>
      <c r="AI1092" s="4">
        <v>7</v>
      </c>
      <c r="AJ1092" s="4">
        <v>12</v>
      </c>
      <c r="AK1092" s="4">
        <v>12</v>
      </c>
      <c r="AL1092" s="4">
        <v>2</v>
      </c>
      <c r="AM1092" s="4">
        <v>2</v>
      </c>
      <c r="AN1092" s="4">
        <v>0</v>
      </c>
      <c r="AO1092" s="4">
        <v>0</v>
      </c>
      <c r="AP1092" s="3" t="s">
        <v>58</v>
      </c>
      <c r="AQ1092" s="3" t="s">
        <v>58</v>
      </c>
      <c r="AS1092" s="6" t="str">
        <f>HYPERLINK("https://creighton-primo.hosted.exlibrisgroup.com/primo-explore/search?tab=default_tab&amp;search_scope=EVERYTHING&amp;vid=01CRU&amp;lang=en_US&amp;offset=0&amp;query=any,contains,991005135099702656","Catalog Record")</f>
        <v>Catalog Record</v>
      </c>
      <c r="AT1092" s="6" t="str">
        <f>HYPERLINK("http://www.worldcat.org/oclc/7576149","WorldCat Record")</f>
        <v>WorldCat Record</v>
      </c>
      <c r="AU1092" s="3" t="s">
        <v>13678</v>
      </c>
      <c r="AV1092" s="3" t="s">
        <v>13679</v>
      </c>
      <c r="AW1092" s="3" t="s">
        <v>13680</v>
      </c>
      <c r="AX1092" s="3" t="s">
        <v>13680</v>
      </c>
      <c r="AY1092" s="3" t="s">
        <v>13681</v>
      </c>
      <c r="AZ1092" s="3" t="s">
        <v>75</v>
      </c>
      <c r="BB1092" s="3" t="s">
        <v>13682</v>
      </c>
      <c r="BC1092" s="3" t="s">
        <v>13683</v>
      </c>
      <c r="BD1092" s="3" t="s">
        <v>13684</v>
      </c>
    </row>
    <row r="1093" spans="1:56" ht="39" customHeight="1" x14ac:dyDescent="0.25">
      <c r="A1093" s="7" t="s">
        <v>58</v>
      </c>
      <c r="B1093" s="2" t="s">
        <v>13685</v>
      </c>
      <c r="C1093" s="2" t="s">
        <v>13686</v>
      </c>
      <c r="D1093" s="2" t="s">
        <v>13687</v>
      </c>
      <c r="F1093" s="3" t="s">
        <v>58</v>
      </c>
      <c r="G1093" s="3" t="s">
        <v>59</v>
      </c>
      <c r="H1093" s="3" t="s">
        <v>58</v>
      </c>
      <c r="I1093" s="3" t="s">
        <v>58</v>
      </c>
      <c r="J1093" s="3" t="s">
        <v>60</v>
      </c>
      <c r="K1093" s="2" t="s">
        <v>13688</v>
      </c>
      <c r="L1093" s="2" t="s">
        <v>13689</v>
      </c>
      <c r="M1093" s="3" t="s">
        <v>172</v>
      </c>
      <c r="O1093" s="3" t="s">
        <v>65</v>
      </c>
      <c r="P1093" s="3" t="s">
        <v>186</v>
      </c>
      <c r="R1093" s="3" t="s">
        <v>68</v>
      </c>
      <c r="S1093" s="4">
        <v>5</v>
      </c>
      <c r="T1093" s="4">
        <v>5</v>
      </c>
      <c r="U1093" s="5" t="s">
        <v>13690</v>
      </c>
      <c r="V1093" s="5" t="s">
        <v>13690</v>
      </c>
      <c r="W1093" s="5" t="s">
        <v>13691</v>
      </c>
      <c r="X1093" s="5" t="s">
        <v>13691</v>
      </c>
      <c r="Y1093" s="4">
        <v>233</v>
      </c>
      <c r="Z1093" s="4">
        <v>201</v>
      </c>
      <c r="AA1093" s="4">
        <v>204</v>
      </c>
      <c r="AB1093" s="4">
        <v>2</v>
      </c>
      <c r="AC1093" s="4">
        <v>2</v>
      </c>
      <c r="AD1093" s="4">
        <v>25</v>
      </c>
      <c r="AE1093" s="4">
        <v>25</v>
      </c>
      <c r="AF1093" s="4">
        <v>8</v>
      </c>
      <c r="AG1093" s="4">
        <v>8</v>
      </c>
      <c r="AH1093" s="4">
        <v>6</v>
      </c>
      <c r="AI1093" s="4">
        <v>6</v>
      </c>
      <c r="AJ1093" s="4">
        <v>19</v>
      </c>
      <c r="AK1093" s="4">
        <v>19</v>
      </c>
      <c r="AL1093" s="4">
        <v>1</v>
      </c>
      <c r="AM1093" s="4">
        <v>1</v>
      </c>
      <c r="AN1093" s="4">
        <v>0</v>
      </c>
      <c r="AO1093" s="4">
        <v>0</v>
      </c>
      <c r="AP1093" s="3" t="s">
        <v>58</v>
      </c>
      <c r="AQ1093" s="3" t="s">
        <v>58</v>
      </c>
      <c r="AS1093" s="6" t="str">
        <f>HYPERLINK("https://creighton-primo.hosted.exlibrisgroup.com/primo-explore/search?tab=default_tab&amp;search_scope=EVERYTHING&amp;vid=01CRU&amp;lang=en_US&amp;offset=0&amp;query=any,contains,991001241569702656","Catalog Record")</f>
        <v>Catalog Record</v>
      </c>
      <c r="AT1093" s="6" t="str">
        <f>HYPERLINK("http://www.worldcat.org/oclc/207847","WorldCat Record")</f>
        <v>WorldCat Record</v>
      </c>
      <c r="AU1093" s="3" t="s">
        <v>13692</v>
      </c>
      <c r="AV1093" s="3" t="s">
        <v>13693</v>
      </c>
      <c r="AW1093" s="3" t="s">
        <v>13694</v>
      </c>
      <c r="AX1093" s="3" t="s">
        <v>13694</v>
      </c>
      <c r="AY1093" s="3" t="s">
        <v>13695</v>
      </c>
      <c r="AZ1093" s="3" t="s">
        <v>75</v>
      </c>
      <c r="BB1093" s="3" t="s">
        <v>13696</v>
      </c>
      <c r="BC1093" s="3" t="s">
        <v>13697</v>
      </c>
      <c r="BD1093" s="3" t="s">
        <v>13698</v>
      </c>
    </row>
    <row r="1094" spans="1:56" ht="39" customHeight="1" x14ac:dyDescent="0.25">
      <c r="A1094" s="7" t="s">
        <v>58</v>
      </c>
      <c r="B1094" s="2" t="s">
        <v>13699</v>
      </c>
      <c r="C1094" s="2" t="s">
        <v>13700</v>
      </c>
      <c r="D1094" s="2" t="s">
        <v>13701</v>
      </c>
      <c r="F1094" s="3" t="s">
        <v>58</v>
      </c>
      <c r="G1094" s="3" t="s">
        <v>59</v>
      </c>
      <c r="H1094" s="3" t="s">
        <v>58</v>
      </c>
      <c r="I1094" s="3" t="s">
        <v>58</v>
      </c>
      <c r="J1094" s="3" t="s">
        <v>60</v>
      </c>
      <c r="L1094" s="2" t="s">
        <v>13702</v>
      </c>
      <c r="M1094" s="3" t="s">
        <v>1046</v>
      </c>
      <c r="O1094" s="3" t="s">
        <v>65</v>
      </c>
      <c r="P1094" s="3" t="s">
        <v>113</v>
      </c>
      <c r="Q1094" s="2" t="s">
        <v>13703</v>
      </c>
      <c r="R1094" s="3" t="s">
        <v>68</v>
      </c>
      <c r="S1094" s="4">
        <v>2</v>
      </c>
      <c r="T1094" s="4">
        <v>2</v>
      </c>
      <c r="U1094" s="5" t="s">
        <v>13704</v>
      </c>
      <c r="V1094" s="5" t="s">
        <v>13704</v>
      </c>
      <c r="W1094" s="5" t="s">
        <v>6231</v>
      </c>
      <c r="X1094" s="5" t="s">
        <v>6231</v>
      </c>
      <c r="Y1094" s="4">
        <v>51</v>
      </c>
      <c r="Z1094" s="4">
        <v>51</v>
      </c>
      <c r="AA1094" s="4">
        <v>51</v>
      </c>
      <c r="AB1094" s="4">
        <v>1</v>
      </c>
      <c r="AC1094" s="4">
        <v>1</v>
      </c>
      <c r="AD1094" s="4">
        <v>9</v>
      </c>
      <c r="AE1094" s="4">
        <v>9</v>
      </c>
      <c r="AF1094" s="4">
        <v>2</v>
      </c>
      <c r="AG1094" s="4">
        <v>2</v>
      </c>
      <c r="AH1094" s="4">
        <v>3</v>
      </c>
      <c r="AI1094" s="4">
        <v>3</v>
      </c>
      <c r="AJ1094" s="4">
        <v>6</v>
      </c>
      <c r="AK1094" s="4">
        <v>6</v>
      </c>
      <c r="AL1094" s="4">
        <v>0</v>
      </c>
      <c r="AM1094" s="4">
        <v>0</v>
      </c>
      <c r="AN1094" s="4">
        <v>0</v>
      </c>
      <c r="AO1094" s="4">
        <v>0</v>
      </c>
      <c r="AP1094" s="3" t="s">
        <v>58</v>
      </c>
      <c r="AQ1094" s="3" t="s">
        <v>58</v>
      </c>
      <c r="AS1094" s="6" t="str">
        <f>HYPERLINK("https://creighton-primo.hosted.exlibrisgroup.com/primo-explore/search?tab=default_tab&amp;search_scope=EVERYTHING&amp;vid=01CRU&amp;lang=en_US&amp;offset=0&amp;query=any,contains,991000835069702656","Catalog Record")</f>
        <v>Catalog Record</v>
      </c>
      <c r="AT1094" s="6" t="str">
        <f>HYPERLINK("http://www.worldcat.org/oclc/13469990","WorldCat Record")</f>
        <v>WorldCat Record</v>
      </c>
      <c r="AU1094" s="3" t="s">
        <v>13705</v>
      </c>
      <c r="AV1094" s="3" t="s">
        <v>13706</v>
      </c>
      <c r="AW1094" s="3" t="s">
        <v>13707</v>
      </c>
      <c r="AX1094" s="3" t="s">
        <v>13707</v>
      </c>
      <c r="AY1094" s="3" t="s">
        <v>13708</v>
      </c>
      <c r="AZ1094" s="3" t="s">
        <v>75</v>
      </c>
      <c r="BC1094" s="3" t="s">
        <v>13709</v>
      </c>
      <c r="BD1094" s="3" t="s">
        <v>13710</v>
      </c>
    </row>
    <row r="1095" spans="1:56" ht="39" customHeight="1" x14ac:dyDescent="0.25">
      <c r="A1095" s="7" t="s">
        <v>58</v>
      </c>
      <c r="B1095" s="2" t="s">
        <v>13711</v>
      </c>
      <c r="C1095" s="2" t="s">
        <v>13712</v>
      </c>
      <c r="D1095" s="2" t="s">
        <v>13713</v>
      </c>
      <c r="F1095" s="3" t="s">
        <v>58</v>
      </c>
      <c r="G1095" s="3" t="s">
        <v>59</v>
      </c>
      <c r="H1095" s="3" t="s">
        <v>58</v>
      </c>
      <c r="I1095" s="3" t="s">
        <v>58</v>
      </c>
      <c r="J1095" s="3" t="s">
        <v>60</v>
      </c>
      <c r="L1095" s="2" t="s">
        <v>13714</v>
      </c>
      <c r="M1095" s="3" t="s">
        <v>361</v>
      </c>
      <c r="O1095" s="3" t="s">
        <v>65</v>
      </c>
      <c r="P1095" s="3" t="s">
        <v>113</v>
      </c>
      <c r="R1095" s="3" t="s">
        <v>68</v>
      </c>
      <c r="S1095" s="4">
        <v>4</v>
      </c>
      <c r="T1095" s="4">
        <v>4</v>
      </c>
      <c r="U1095" s="5" t="s">
        <v>13704</v>
      </c>
      <c r="V1095" s="5" t="s">
        <v>13704</v>
      </c>
      <c r="W1095" s="5" t="s">
        <v>13475</v>
      </c>
      <c r="X1095" s="5" t="s">
        <v>13475</v>
      </c>
      <c r="Y1095" s="4">
        <v>46</v>
      </c>
      <c r="Z1095" s="4">
        <v>44</v>
      </c>
      <c r="AA1095" s="4">
        <v>98</v>
      </c>
      <c r="AB1095" s="4">
        <v>1</v>
      </c>
      <c r="AC1095" s="4">
        <v>1</v>
      </c>
      <c r="AD1095" s="4">
        <v>6</v>
      </c>
      <c r="AE1095" s="4">
        <v>15</v>
      </c>
      <c r="AF1095" s="4">
        <v>2</v>
      </c>
      <c r="AG1095" s="4">
        <v>4</v>
      </c>
      <c r="AH1095" s="4">
        <v>2</v>
      </c>
      <c r="AI1095" s="4">
        <v>5</v>
      </c>
      <c r="AJ1095" s="4">
        <v>3</v>
      </c>
      <c r="AK1095" s="4">
        <v>11</v>
      </c>
      <c r="AL1095" s="4">
        <v>0</v>
      </c>
      <c r="AM1095" s="4">
        <v>0</v>
      </c>
      <c r="AN1095" s="4">
        <v>0</v>
      </c>
      <c r="AO1095" s="4">
        <v>0</v>
      </c>
      <c r="AP1095" s="3" t="s">
        <v>58</v>
      </c>
      <c r="AQ1095" s="3" t="s">
        <v>58</v>
      </c>
      <c r="AS1095" s="6" t="str">
        <f>HYPERLINK("https://creighton-primo.hosted.exlibrisgroup.com/primo-explore/search?tab=default_tab&amp;search_scope=EVERYTHING&amp;vid=01CRU&amp;lang=en_US&amp;offset=0&amp;query=any,contains,991000260629702656","Catalog Record")</f>
        <v>Catalog Record</v>
      </c>
      <c r="AT1095" s="6" t="str">
        <f>HYPERLINK("http://www.worldcat.org/oclc/9809506","WorldCat Record")</f>
        <v>WorldCat Record</v>
      </c>
      <c r="AU1095" s="3" t="s">
        <v>13715</v>
      </c>
      <c r="AV1095" s="3" t="s">
        <v>13716</v>
      </c>
      <c r="AW1095" s="3" t="s">
        <v>13717</v>
      </c>
      <c r="AX1095" s="3" t="s">
        <v>13717</v>
      </c>
      <c r="AY1095" s="3" t="s">
        <v>13718</v>
      </c>
      <c r="AZ1095" s="3" t="s">
        <v>75</v>
      </c>
      <c r="BC1095" s="3" t="s">
        <v>13719</v>
      </c>
      <c r="BD1095" s="3" t="s">
        <v>13720</v>
      </c>
    </row>
    <row r="1096" spans="1:56" ht="39" customHeight="1" x14ac:dyDescent="0.25">
      <c r="A1096" s="7" t="s">
        <v>58</v>
      </c>
      <c r="B1096" s="2" t="s">
        <v>13721</v>
      </c>
      <c r="C1096" s="2" t="s">
        <v>13722</v>
      </c>
      <c r="D1096" s="2" t="s">
        <v>13723</v>
      </c>
      <c r="F1096" s="3" t="s">
        <v>58</v>
      </c>
      <c r="G1096" s="3" t="s">
        <v>59</v>
      </c>
      <c r="H1096" s="3" t="s">
        <v>58</v>
      </c>
      <c r="I1096" s="3" t="s">
        <v>58</v>
      </c>
      <c r="J1096" s="3" t="s">
        <v>60</v>
      </c>
      <c r="L1096" s="2" t="s">
        <v>13724</v>
      </c>
      <c r="M1096" s="3" t="s">
        <v>157</v>
      </c>
      <c r="O1096" s="3" t="s">
        <v>65</v>
      </c>
      <c r="P1096" s="3" t="s">
        <v>113</v>
      </c>
      <c r="Q1096" s="2" t="s">
        <v>13725</v>
      </c>
      <c r="R1096" s="3" t="s">
        <v>68</v>
      </c>
      <c r="S1096" s="4">
        <v>3</v>
      </c>
      <c r="T1096" s="4">
        <v>3</v>
      </c>
      <c r="U1096" s="5" t="s">
        <v>13704</v>
      </c>
      <c r="V1096" s="5" t="s">
        <v>13704</v>
      </c>
      <c r="W1096" s="5" t="s">
        <v>13475</v>
      </c>
      <c r="X1096" s="5" t="s">
        <v>13475</v>
      </c>
      <c r="Y1096" s="4">
        <v>85</v>
      </c>
      <c r="Z1096" s="4">
        <v>76</v>
      </c>
      <c r="AA1096" s="4">
        <v>77</v>
      </c>
      <c r="AB1096" s="4">
        <v>1</v>
      </c>
      <c r="AC1096" s="4">
        <v>1</v>
      </c>
      <c r="AD1096" s="4">
        <v>11</v>
      </c>
      <c r="AE1096" s="4">
        <v>12</v>
      </c>
      <c r="AF1096" s="4">
        <v>4</v>
      </c>
      <c r="AG1096" s="4">
        <v>5</v>
      </c>
      <c r="AH1096" s="4">
        <v>3</v>
      </c>
      <c r="AI1096" s="4">
        <v>3</v>
      </c>
      <c r="AJ1096" s="4">
        <v>8</v>
      </c>
      <c r="AK1096" s="4">
        <v>9</v>
      </c>
      <c r="AL1096" s="4">
        <v>0</v>
      </c>
      <c r="AM1096" s="4">
        <v>0</v>
      </c>
      <c r="AN1096" s="4">
        <v>0</v>
      </c>
      <c r="AO1096" s="4">
        <v>0</v>
      </c>
      <c r="AP1096" s="3" t="s">
        <v>58</v>
      </c>
      <c r="AQ1096" s="3" t="s">
        <v>58</v>
      </c>
      <c r="AS1096" s="6" t="str">
        <f>HYPERLINK("https://creighton-primo.hosted.exlibrisgroup.com/primo-explore/search?tab=default_tab&amp;search_scope=EVERYTHING&amp;vid=01CRU&amp;lang=en_US&amp;offset=0&amp;query=any,contains,991000128369702656","Catalog Record")</f>
        <v>Catalog Record</v>
      </c>
      <c r="AT1096" s="6" t="str">
        <f>HYPERLINK("http://www.worldcat.org/oclc/9098569","WorldCat Record")</f>
        <v>WorldCat Record</v>
      </c>
      <c r="AU1096" s="3" t="s">
        <v>13726</v>
      </c>
      <c r="AV1096" s="3" t="s">
        <v>13727</v>
      </c>
      <c r="AW1096" s="3" t="s">
        <v>13728</v>
      </c>
      <c r="AX1096" s="3" t="s">
        <v>13728</v>
      </c>
      <c r="AY1096" s="3" t="s">
        <v>13729</v>
      </c>
      <c r="AZ1096" s="3" t="s">
        <v>75</v>
      </c>
      <c r="BC1096" s="3" t="s">
        <v>13730</v>
      </c>
      <c r="BD1096" s="3" t="s">
        <v>13731</v>
      </c>
    </row>
    <row r="1097" spans="1:56" ht="39" customHeight="1" x14ac:dyDescent="0.25">
      <c r="A1097" s="7" t="s">
        <v>58</v>
      </c>
      <c r="B1097" s="2" t="s">
        <v>13732</v>
      </c>
      <c r="C1097" s="2" t="s">
        <v>13733</v>
      </c>
      <c r="D1097" s="2" t="s">
        <v>13734</v>
      </c>
      <c r="F1097" s="3" t="s">
        <v>58</v>
      </c>
      <c r="G1097" s="3" t="s">
        <v>59</v>
      </c>
      <c r="H1097" s="3" t="s">
        <v>58</v>
      </c>
      <c r="I1097" s="3" t="s">
        <v>58</v>
      </c>
      <c r="J1097" s="3" t="s">
        <v>60</v>
      </c>
      <c r="K1097" s="2" t="s">
        <v>13735</v>
      </c>
      <c r="L1097" s="2" t="s">
        <v>13736</v>
      </c>
      <c r="M1097" s="3" t="s">
        <v>1449</v>
      </c>
      <c r="O1097" s="3" t="s">
        <v>65</v>
      </c>
      <c r="P1097" s="3" t="s">
        <v>13737</v>
      </c>
      <c r="R1097" s="3" t="s">
        <v>68</v>
      </c>
      <c r="S1097" s="4">
        <v>3</v>
      </c>
      <c r="T1097" s="4">
        <v>3</v>
      </c>
      <c r="U1097" s="5" t="s">
        <v>13704</v>
      </c>
      <c r="V1097" s="5" t="s">
        <v>13704</v>
      </c>
      <c r="W1097" s="5" t="s">
        <v>13475</v>
      </c>
      <c r="X1097" s="5" t="s">
        <v>13475</v>
      </c>
      <c r="Y1097" s="4">
        <v>163</v>
      </c>
      <c r="Z1097" s="4">
        <v>136</v>
      </c>
      <c r="AA1097" s="4">
        <v>136</v>
      </c>
      <c r="AB1097" s="4">
        <v>3</v>
      </c>
      <c r="AC1097" s="4">
        <v>3</v>
      </c>
      <c r="AD1097" s="4">
        <v>29</v>
      </c>
      <c r="AE1097" s="4">
        <v>29</v>
      </c>
      <c r="AF1097" s="4">
        <v>10</v>
      </c>
      <c r="AG1097" s="4">
        <v>10</v>
      </c>
      <c r="AH1097" s="4">
        <v>7</v>
      </c>
      <c r="AI1097" s="4">
        <v>7</v>
      </c>
      <c r="AJ1097" s="4">
        <v>24</v>
      </c>
      <c r="AK1097" s="4">
        <v>24</v>
      </c>
      <c r="AL1097" s="4">
        <v>0</v>
      </c>
      <c r="AM1097" s="4">
        <v>0</v>
      </c>
      <c r="AN1097" s="4">
        <v>0</v>
      </c>
      <c r="AO1097" s="4">
        <v>0</v>
      </c>
      <c r="AP1097" s="3" t="s">
        <v>58</v>
      </c>
      <c r="AQ1097" s="3" t="s">
        <v>58</v>
      </c>
      <c r="AS1097" s="6" t="str">
        <f>HYPERLINK("https://creighton-primo.hosted.exlibrisgroup.com/primo-explore/search?tab=default_tab&amp;search_scope=EVERYTHING&amp;vid=01CRU&amp;lang=en_US&amp;offset=0&amp;query=any,contains,991000107839702656","Catalog Record")</f>
        <v>Catalog Record</v>
      </c>
      <c r="AT1097" s="6" t="str">
        <f>HYPERLINK("http://www.worldcat.org/oclc/8989440","WorldCat Record")</f>
        <v>WorldCat Record</v>
      </c>
      <c r="AU1097" s="3" t="s">
        <v>13738</v>
      </c>
      <c r="AV1097" s="3" t="s">
        <v>13739</v>
      </c>
      <c r="AW1097" s="3" t="s">
        <v>13740</v>
      </c>
      <c r="AX1097" s="3" t="s">
        <v>13740</v>
      </c>
      <c r="AY1097" s="3" t="s">
        <v>13741</v>
      </c>
      <c r="AZ1097" s="3" t="s">
        <v>75</v>
      </c>
      <c r="BC1097" s="3" t="s">
        <v>13742</v>
      </c>
      <c r="BD1097" s="3" t="s">
        <v>13743</v>
      </c>
    </row>
    <row r="1098" spans="1:56" ht="39" customHeight="1" x14ac:dyDescent="0.25">
      <c r="A1098" s="7" t="s">
        <v>58</v>
      </c>
      <c r="B1098" s="2" t="s">
        <v>13744</v>
      </c>
      <c r="C1098" s="2" t="s">
        <v>13745</v>
      </c>
      <c r="D1098" s="2" t="s">
        <v>13746</v>
      </c>
      <c r="F1098" s="3" t="s">
        <v>58</v>
      </c>
      <c r="G1098" s="3" t="s">
        <v>59</v>
      </c>
      <c r="H1098" s="3" t="s">
        <v>58</v>
      </c>
      <c r="I1098" s="3" t="s">
        <v>58</v>
      </c>
      <c r="J1098" s="3" t="s">
        <v>60</v>
      </c>
      <c r="K1098" s="2" t="s">
        <v>13747</v>
      </c>
      <c r="L1098" s="2" t="s">
        <v>13748</v>
      </c>
      <c r="M1098" s="3" t="s">
        <v>781</v>
      </c>
      <c r="O1098" s="3" t="s">
        <v>65</v>
      </c>
      <c r="P1098" s="3" t="s">
        <v>5465</v>
      </c>
      <c r="Q1098" s="2" t="s">
        <v>13749</v>
      </c>
      <c r="R1098" s="3" t="s">
        <v>68</v>
      </c>
      <c r="S1098" s="4">
        <v>2</v>
      </c>
      <c r="T1098" s="4">
        <v>2</v>
      </c>
      <c r="U1098" s="5" t="s">
        <v>13750</v>
      </c>
      <c r="V1098" s="5" t="s">
        <v>13750</v>
      </c>
      <c r="W1098" s="5" t="s">
        <v>13475</v>
      </c>
      <c r="X1098" s="5" t="s">
        <v>13475</v>
      </c>
      <c r="Y1098" s="4">
        <v>131</v>
      </c>
      <c r="Z1098" s="4">
        <v>100</v>
      </c>
      <c r="AA1098" s="4">
        <v>103</v>
      </c>
      <c r="AB1098" s="4">
        <v>1</v>
      </c>
      <c r="AC1098" s="4">
        <v>1</v>
      </c>
      <c r="AD1098" s="4">
        <v>10</v>
      </c>
      <c r="AE1098" s="4">
        <v>10</v>
      </c>
      <c r="AF1098" s="4">
        <v>1</v>
      </c>
      <c r="AG1098" s="4">
        <v>1</v>
      </c>
      <c r="AH1098" s="4">
        <v>3</v>
      </c>
      <c r="AI1098" s="4">
        <v>3</v>
      </c>
      <c r="AJ1098" s="4">
        <v>8</v>
      </c>
      <c r="AK1098" s="4">
        <v>8</v>
      </c>
      <c r="AL1098" s="4">
        <v>0</v>
      </c>
      <c r="AM1098" s="4">
        <v>0</v>
      </c>
      <c r="AN1098" s="4">
        <v>0</v>
      </c>
      <c r="AO1098" s="4">
        <v>0</v>
      </c>
      <c r="AP1098" s="3" t="s">
        <v>58</v>
      </c>
      <c r="AQ1098" s="3" t="s">
        <v>132</v>
      </c>
      <c r="AR1098" s="6" t="str">
        <f>HYPERLINK("http://catalog.hathitrust.org/Record/000430709","HathiTrust Record")</f>
        <v>HathiTrust Record</v>
      </c>
      <c r="AS1098" s="6" t="str">
        <f>HYPERLINK("https://creighton-primo.hosted.exlibrisgroup.com/primo-explore/search?tab=default_tab&amp;search_scope=EVERYTHING&amp;vid=01CRU&amp;lang=en_US&amp;offset=0&amp;query=any,contains,991000882969702656","Catalog Record")</f>
        <v>Catalog Record</v>
      </c>
      <c r="AT1098" s="6" t="str">
        <f>HYPERLINK("http://www.worldcat.org/oclc/13859312","WorldCat Record")</f>
        <v>WorldCat Record</v>
      </c>
      <c r="AU1098" s="3" t="s">
        <v>13751</v>
      </c>
      <c r="AV1098" s="3" t="s">
        <v>13752</v>
      </c>
      <c r="AW1098" s="3" t="s">
        <v>13753</v>
      </c>
      <c r="AX1098" s="3" t="s">
        <v>13753</v>
      </c>
      <c r="AY1098" s="3" t="s">
        <v>13754</v>
      </c>
      <c r="AZ1098" s="3" t="s">
        <v>75</v>
      </c>
      <c r="BB1098" s="3" t="s">
        <v>13755</v>
      </c>
      <c r="BC1098" s="3" t="s">
        <v>13756</v>
      </c>
      <c r="BD1098" s="3" t="s">
        <v>13757</v>
      </c>
    </row>
    <row r="1099" spans="1:56" ht="39" customHeight="1" x14ac:dyDescent="0.25">
      <c r="A1099" s="7" t="s">
        <v>58</v>
      </c>
      <c r="B1099" s="2" t="s">
        <v>13758</v>
      </c>
      <c r="C1099" s="2" t="s">
        <v>13759</v>
      </c>
      <c r="D1099" s="2" t="s">
        <v>13760</v>
      </c>
      <c r="F1099" s="3" t="s">
        <v>58</v>
      </c>
      <c r="G1099" s="3" t="s">
        <v>59</v>
      </c>
      <c r="H1099" s="3" t="s">
        <v>58</v>
      </c>
      <c r="I1099" s="3" t="s">
        <v>58</v>
      </c>
      <c r="J1099" s="3" t="s">
        <v>60</v>
      </c>
      <c r="K1099" s="2" t="s">
        <v>13761</v>
      </c>
      <c r="L1099" s="2" t="s">
        <v>13762</v>
      </c>
      <c r="M1099" s="3" t="s">
        <v>1936</v>
      </c>
      <c r="O1099" s="3" t="s">
        <v>65</v>
      </c>
      <c r="P1099" s="3" t="s">
        <v>66</v>
      </c>
      <c r="Q1099" s="2" t="s">
        <v>13763</v>
      </c>
      <c r="R1099" s="3" t="s">
        <v>68</v>
      </c>
      <c r="S1099" s="4">
        <v>9</v>
      </c>
      <c r="T1099" s="4">
        <v>9</v>
      </c>
      <c r="U1099" s="5" t="s">
        <v>13764</v>
      </c>
      <c r="V1099" s="5" t="s">
        <v>13764</v>
      </c>
      <c r="W1099" s="5" t="s">
        <v>13475</v>
      </c>
      <c r="X1099" s="5" t="s">
        <v>13475</v>
      </c>
      <c r="Y1099" s="4">
        <v>542</v>
      </c>
      <c r="Z1099" s="4">
        <v>423</v>
      </c>
      <c r="AA1099" s="4">
        <v>761</v>
      </c>
      <c r="AB1099" s="4">
        <v>4</v>
      </c>
      <c r="AC1099" s="4">
        <v>7</v>
      </c>
      <c r="AD1099" s="4">
        <v>30</v>
      </c>
      <c r="AE1099" s="4">
        <v>46</v>
      </c>
      <c r="AF1099" s="4">
        <v>10</v>
      </c>
      <c r="AG1099" s="4">
        <v>20</v>
      </c>
      <c r="AH1099" s="4">
        <v>6</v>
      </c>
      <c r="AI1099" s="4">
        <v>10</v>
      </c>
      <c r="AJ1099" s="4">
        <v>19</v>
      </c>
      <c r="AK1099" s="4">
        <v>23</v>
      </c>
      <c r="AL1099" s="4">
        <v>2</v>
      </c>
      <c r="AM1099" s="4">
        <v>5</v>
      </c>
      <c r="AN1099" s="4">
        <v>0</v>
      </c>
      <c r="AO1099" s="4">
        <v>0</v>
      </c>
      <c r="AP1099" s="3" t="s">
        <v>58</v>
      </c>
      <c r="AQ1099" s="3" t="s">
        <v>58</v>
      </c>
      <c r="AS1099" s="6" t="str">
        <f>HYPERLINK("https://creighton-primo.hosted.exlibrisgroup.com/primo-explore/search?tab=default_tab&amp;search_scope=EVERYTHING&amp;vid=01CRU&amp;lang=en_US&amp;offset=0&amp;query=any,contains,991002901269702656","Catalog Record")</f>
        <v>Catalog Record</v>
      </c>
      <c r="AT1099" s="6" t="str">
        <f>HYPERLINK("http://www.worldcat.org/oclc/517399","WorldCat Record")</f>
        <v>WorldCat Record</v>
      </c>
      <c r="AU1099" s="3" t="s">
        <v>13765</v>
      </c>
      <c r="AV1099" s="3" t="s">
        <v>13766</v>
      </c>
      <c r="AW1099" s="3" t="s">
        <v>13767</v>
      </c>
      <c r="AX1099" s="3" t="s">
        <v>13767</v>
      </c>
      <c r="AY1099" s="3" t="s">
        <v>13768</v>
      </c>
      <c r="AZ1099" s="3" t="s">
        <v>75</v>
      </c>
      <c r="BC1099" s="3" t="s">
        <v>13769</v>
      </c>
      <c r="BD1099" s="3" t="s">
        <v>13770</v>
      </c>
    </row>
    <row r="1100" spans="1:56" ht="39" customHeight="1" x14ac:dyDescent="0.25">
      <c r="A1100" s="7" t="s">
        <v>58</v>
      </c>
      <c r="B1100" s="2" t="s">
        <v>13771</v>
      </c>
      <c r="C1100" s="2" t="s">
        <v>13772</v>
      </c>
      <c r="D1100" s="2" t="s">
        <v>13773</v>
      </c>
      <c r="F1100" s="3" t="s">
        <v>58</v>
      </c>
      <c r="G1100" s="3" t="s">
        <v>59</v>
      </c>
      <c r="H1100" s="3" t="s">
        <v>58</v>
      </c>
      <c r="I1100" s="3" t="s">
        <v>58</v>
      </c>
      <c r="J1100" s="3" t="s">
        <v>60</v>
      </c>
      <c r="L1100" s="2" t="s">
        <v>13774</v>
      </c>
      <c r="M1100" s="3" t="s">
        <v>3656</v>
      </c>
      <c r="O1100" s="3" t="s">
        <v>65</v>
      </c>
      <c r="P1100" s="3" t="s">
        <v>477</v>
      </c>
      <c r="Q1100" s="2" t="s">
        <v>13775</v>
      </c>
      <c r="R1100" s="3" t="s">
        <v>68</v>
      </c>
      <c r="S1100" s="4">
        <v>2</v>
      </c>
      <c r="T1100" s="4">
        <v>2</v>
      </c>
      <c r="U1100" s="5" t="s">
        <v>13776</v>
      </c>
      <c r="V1100" s="5" t="s">
        <v>13776</v>
      </c>
      <c r="W1100" s="5" t="s">
        <v>9438</v>
      </c>
      <c r="X1100" s="5" t="s">
        <v>9438</v>
      </c>
      <c r="Y1100" s="4">
        <v>360</v>
      </c>
      <c r="Z1100" s="4">
        <v>276</v>
      </c>
      <c r="AA1100" s="4">
        <v>277</v>
      </c>
      <c r="AB1100" s="4">
        <v>3</v>
      </c>
      <c r="AC1100" s="4">
        <v>3</v>
      </c>
      <c r="AD1100" s="4">
        <v>16</v>
      </c>
      <c r="AE1100" s="4">
        <v>16</v>
      </c>
      <c r="AF1100" s="4">
        <v>2</v>
      </c>
      <c r="AG1100" s="4">
        <v>2</v>
      </c>
      <c r="AH1100" s="4">
        <v>6</v>
      </c>
      <c r="AI1100" s="4">
        <v>6</v>
      </c>
      <c r="AJ1100" s="4">
        <v>10</v>
      </c>
      <c r="AK1100" s="4">
        <v>10</v>
      </c>
      <c r="AL1100" s="4">
        <v>2</v>
      </c>
      <c r="AM1100" s="4">
        <v>2</v>
      </c>
      <c r="AN1100" s="4">
        <v>0</v>
      </c>
      <c r="AO1100" s="4">
        <v>0</v>
      </c>
      <c r="AP1100" s="3" t="s">
        <v>58</v>
      </c>
      <c r="AQ1100" s="3" t="s">
        <v>58</v>
      </c>
      <c r="AS1100" s="6" t="str">
        <f>HYPERLINK("https://creighton-primo.hosted.exlibrisgroup.com/primo-explore/search?tab=default_tab&amp;search_scope=EVERYTHING&amp;vid=01CRU&amp;lang=en_US&amp;offset=0&amp;query=any,contains,991002757489702656","Catalog Record")</f>
        <v>Catalog Record</v>
      </c>
      <c r="AT1100" s="6" t="str">
        <f>HYPERLINK("http://www.worldcat.org/oclc/36165199","WorldCat Record")</f>
        <v>WorldCat Record</v>
      </c>
      <c r="AU1100" s="3" t="s">
        <v>13777</v>
      </c>
      <c r="AV1100" s="3" t="s">
        <v>13778</v>
      </c>
      <c r="AW1100" s="3" t="s">
        <v>13779</v>
      </c>
      <c r="AX1100" s="3" t="s">
        <v>13779</v>
      </c>
      <c r="AY1100" s="3" t="s">
        <v>13780</v>
      </c>
      <c r="AZ1100" s="3" t="s">
        <v>75</v>
      </c>
      <c r="BB1100" s="3" t="s">
        <v>13781</v>
      </c>
      <c r="BC1100" s="3" t="s">
        <v>13782</v>
      </c>
      <c r="BD1100" s="3" t="s">
        <v>13783</v>
      </c>
    </row>
    <row r="1101" spans="1:56" ht="39" customHeight="1" x14ac:dyDescent="0.25">
      <c r="A1101" s="7" t="s">
        <v>58</v>
      </c>
      <c r="B1101" s="2" t="s">
        <v>13784</v>
      </c>
      <c r="C1101" s="2" t="s">
        <v>13785</v>
      </c>
      <c r="D1101" s="2" t="s">
        <v>13786</v>
      </c>
      <c r="F1101" s="3" t="s">
        <v>58</v>
      </c>
      <c r="G1101" s="3" t="s">
        <v>59</v>
      </c>
      <c r="H1101" s="3" t="s">
        <v>58</v>
      </c>
      <c r="I1101" s="3" t="s">
        <v>58</v>
      </c>
      <c r="J1101" s="3" t="s">
        <v>60</v>
      </c>
      <c r="L1101" s="2" t="s">
        <v>13787</v>
      </c>
      <c r="M1101" s="3" t="s">
        <v>389</v>
      </c>
      <c r="O1101" s="3" t="s">
        <v>1490</v>
      </c>
      <c r="P1101" s="3" t="s">
        <v>3393</v>
      </c>
      <c r="R1101" s="3" t="s">
        <v>68</v>
      </c>
      <c r="S1101" s="4">
        <v>0</v>
      </c>
      <c r="T1101" s="4">
        <v>0</v>
      </c>
      <c r="U1101" s="5" t="s">
        <v>13788</v>
      </c>
      <c r="V1101" s="5" t="s">
        <v>13788</v>
      </c>
      <c r="W1101" s="5" t="s">
        <v>13475</v>
      </c>
      <c r="X1101" s="5" t="s">
        <v>13475</v>
      </c>
      <c r="Y1101" s="4">
        <v>78</v>
      </c>
      <c r="Z1101" s="4">
        <v>60</v>
      </c>
      <c r="AA1101" s="4">
        <v>60</v>
      </c>
      <c r="AB1101" s="4">
        <v>1</v>
      </c>
      <c r="AC1101" s="4">
        <v>1</v>
      </c>
      <c r="AD1101" s="4">
        <v>5</v>
      </c>
      <c r="AE1101" s="4">
        <v>5</v>
      </c>
      <c r="AF1101" s="4">
        <v>1</v>
      </c>
      <c r="AG1101" s="4">
        <v>1</v>
      </c>
      <c r="AH1101" s="4">
        <v>1</v>
      </c>
      <c r="AI1101" s="4">
        <v>1</v>
      </c>
      <c r="AJ1101" s="4">
        <v>5</v>
      </c>
      <c r="AK1101" s="4">
        <v>5</v>
      </c>
      <c r="AL1101" s="4">
        <v>0</v>
      </c>
      <c r="AM1101" s="4">
        <v>0</v>
      </c>
      <c r="AN1101" s="4">
        <v>0</v>
      </c>
      <c r="AO1101" s="4">
        <v>0</v>
      </c>
      <c r="AP1101" s="3" t="s">
        <v>58</v>
      </c>
      <c r="AQ1101" s="3" t="s">
        <v>58</v>
      </c>
      <c r="AS1101" s="6" t="str">
        <f>HYPERLINK("https://creighton-primo.hosted.exlibrisgroup.com/primo-explore/search?tab=default_tab&amp;search_scope=EVERYTHING&amp;vid=01CRU&amp;lang=en_US&amp;offset=0&amp;query=any,contains,991004609579702656","Catalog Record")</f>
        <v>Catalog Record</v>
      </c>
      <c r="AT1101" s="6" t="str">
        <f>HYPERLINK("http://www.worldcat.org/oclc/4209715","WorldCat Record")</f>
        <v>WorldCat Record</v>
      </c>
      <c r="AU1101" s="3" t="s">
        <v>13789</v>
      </c>
      <c r="AV1101" s="3" t="s">
        <v>13790</v>
      </c>
      <c r="AW1101" s="3" t="s">
        <v>13791</v>
      </c>
      <c r="AX1101" s="3" t="s">
        <v>13791</v>
      </c>
      <c r="AY1101" s="3" t="s">
        <v>13792</v>
      </c>
      <c r="AZ1101" s="3" t="s">
        <v>75</v>
      </c>
      <c r="BC1101" s="3" t="s">
        <v>13793</v>
      </c>
      <c r="BD1101" s="3" t="s">
        <v>13794</v>
      </c>
    </row>
    <row r="1102" spans="1:56" ht="39" customHeight="1" x14ac:dyDescent="0.25">
      <c r="A1102" s="7" t="s">
        <v>58</v>
      </c>
      <c r="B1102" s="2" t="s">
        <v>13795</v>
      </c>
      <c r="C1102" s="2" t="s">
        <v>13796</v>
      </c>
      <c r="D1102" s="2" t="s">
        <v>13797</v>
      </c>
      <c r="F1102" s="3" t="s">
        <v>58</v>
      </c>
      <c r="G1102" s="3" t="s">
        <v>59</v>
      </c>
      <c r="H1102" s="3" t="s">
        <v>58</v>
      </c>
      <c r="I1102" s="3" t="s">
        <v>58</v>
      </c>
      <c r="J1102" s="3" t="s">
        <v>60</v>
      </c>
      <c r="K1102" s="2" t="s">
        <v>12533</v>
      </c>
      <c r="L1102" s="2" t="s">
        <v>13798</v>
      </c>
      <c r="M1102" s="3" t="s">
        <v>415</v>
      </c>
      <c r="O1102" s="3" t="s">
        <v>65</v>
      </c>
      <c r="P1102" s="3" t="s">
        <v>186</v>
      </c>
      <c r="Q1102" s="2" t="s">
        <v>13799</v>
      </c>
      <c r="R1102" s="3" t="s">
        <v>68</v>
      </c>
      <c r="S1102" s="4">
        <v>2</v>
      </c>
      <c r="T1102" s="4">
        <v>2</v>
      </c>
      <c r="U1102" s="5" t="s">
        <v>2624</v>
      </c>
      <c r="V1102" s="5" t="s">
        <v>2624</v>
      </c>
      <c r="W1102" s="5" t="s">
        <v>13475</v>
      </c>
      <c r="X1102" s="5" t="s">
        <v>13475</v>
      </c>
      <c r="Y1102" s="4">
        <v>670</v>
      </c>
      <c r="Z1102" s="4">
        <v>608</v>
      </c>
      <c r="AA1102" s="4">
        <v>615</v>
      </c>
      <c r="AB1102" s="4">
        <v>6</v>
      </c>
      <c r="AC1102" s="4">
        <v>6</v>
      </c>
      <c r="AD1102" s="4">
        <v>41</v>
      </c>
      <c r="AE1102" s="4">
        <v>41</v>
      </c>
      <c r="AF1102" s="4">
        <v>16</v>
      </c>
      <c r="AG1102" s="4">
        <v>16</v>
      </c>
      <c r="AH1102" s="4">
        <v>9</v>
      </c>
      <c r="AI1102" s="4">
        <v>9</v>
      </c>
      <c r="AJ1102" s="4">
        <v>26</v>
      </c>
      <c r="AK1102" s="4">
        <v>26</v>
      </c>
      <c r="AL1102" s="4">
        <v>3</v>
      </c>
      <c r="AM1102" s="4">
        <v>3</v>
      </c>
      <c r="AN1102" s="4">
        <v>0</v>
      </c>
      <c r="AO1102" s="4">
        <v>0</v>
      </c>
      <c r="AP1102" s="3" t="s">
        <v>58</v>
      </c>
      <c r="AQ1102" s="3" t="s">
        <v>132</v>
      </c>
      <c r="AR1102" s="6" t="str">
        <f>HYPERLINK("http://catalog.hathitrust.org/Record/001413459","HathiTrust Record")</f>
        <v>HathiTrust Record</v>
      </c>
      <c r="AS1102" s="6" t="str">
        <f>HYPERLINK("https://creighton-primo.hosted.exlibrisgroup.com/primo-explore/search?tab=default_tab&amp;search_scope=EVERYTHING&amp;vid=01CRU&amp;lang=en_US&amp;offset=0&amp;query=any,contains,991002692169702656","Catalog Record")</f>
        <v>Catalog Record</v>
      </c>
      <c r="AT1102" s="6" t="str">
        <f>HYPERLINK("http://www.worldcat.org/oclc/401997","WorldCat Record")</f>
        <v>WorldCat Record</v>
      </c>
      <c r="AU1102" s="3" t="s">
        <v>13800</v>
      </c>
      <c r="AV1102" s="3" t="s">
        <v>13801</v>
      </c>
      <c r="AW1102" s="3" t="s">
        <v>13802</v>
      </c>
      <c r="AX1102" s="3" t="s">
        <v>13802</v>
      </c>
      <c r="AY1102" s="3" t="s">
        <v>13803</v>
      </c>
      <c r="AZ1102" s="3" t="s">
        <v>75</v>
      </c>
      <c r="BC1102" s="3" t="s">
        <v>13804</v>
      </c>
      <c r="BD1102" s="3" t="s">
        <v>13805</v>
      </c>
    </row>
    <row r="1103" spans="1:56" ht="39" customHeight="1" x14ac:dyDescent="0.25">
      <c r="A1103" s="7" t="s">
        <v>58</v>
      </c>
      <c r="B1103" s="2" t="s">
        <v>13806</v>
      </c>
      <c r="C1103" s="2" t="s">
        <v>13807</v>
      </c>
      <c r="D1103" s="2" t="s">
        <v>13808</v>
      </c>
      <c r="F1103" s="3" t="s">
        <v>58</v>
      </c>
      <c r="G1103" s="3" t="s">
        <v>59</v>
      </c>
      <c r="H1103" s="3" t="s">
        <v>58</v>
      </c>
      <c r="I1103" s="3" t="s">
        <v>58</v>
      </c>
      <c r="J1103" s="3" t="s">
        <v>60</v>
      </c>
      <c r="K1103" s="2" t="s">
        <v>13809</v>
      </c>
      <c r="L1103" s="2" t="s">
        <v>13810</v>
      </c>
      <c r="M1103" s="3" t="s">
        <v>1289</v>
      </c>
      <c r="O1103" s="3" t="s">
        <v>65</v>
      </c>
      <c r="P1103" s="3" t="s">
        <v>113</v>
      </c>
      <c r="R1103" s="3" t="s">
        <v>68</v>
      </c>
      <c r="S1103" s="4">
        <v>3</v>
      </c>
      <c r="T1103" s="4">
        <v>3</v>
      </c>
      <c r="U1103" s="5" t="s">
        <v>13811</v>
      </c>
      <c r="V1103" s="5" t="s">
        <v>13811</v>
      </c>
      <c r="W1103" s="5" t="s">
        <v>13811</v>
      </c>
      <c r="X1103" s="5" t="s">
        <v>13811</v>
      </c>
      <c r="Y1103" s="4">
        <v>958</v>
      </c>
      <c r="Z1103" s="4">
        <v>940</v>
      </c>
      <c r="AA1103" s="4">
        <v>1027</v>
      </c>
      <c r="AB1103" s="4">
        <v>12</v>
      </c>
      <c r="AC1103" s="4">
        <v>13</v>
      </c>
      <c r="AD1103" s="4">
        <v>15</v>
      </c>
      <c r="AE1103" s="4">
        <v>15</v>
      </c>
      <c r="AF1103" s="4">
        <v>5</v>
      </c>
      <c r="AG1103" s="4">
        <v>5</v>
      </c>
      <c r="AH1103" s="4">
        <v>4</v>
      </c>
      <c r="AI1103" s="4">
        <v>4</v>
      </c>
      <c r="AJ1103" s="4">
        <v>7</v>
      </c>
      <c r="AK1103" s="4">
        <v>7</v>
      </c>
      <c r="AL1103" s="4">
        <v>2</v>
      </c>
      <c r="AM1103" s="4">
        <v>2</v>
      </c>
      <c r="AN1103" s="4">
        <v>1</v>
      </c>
      <c r="AO1103" s="4">
        <v>1</v>
      </c>
      <c r="AP1103" s="3" t="s">
        <v>58</v>
      </c>
      <c r="AQ1103" s="3" t="s">
        <v>58</v>
      </c>
      <c r="AS1103" s="6" t="str">
        <f>HYPERLINK("https://creighton-primo.hosted.exlibrisgroup.com/primo-explore/search?tab=default_tab&amp;search_scope=EVERYTHING&amp;vid=01CRU&amp;lang=en_US&amp;offset=0&amp;query=any,contains,991004176419702656","Catalog Record")</f>
        <v>Catalog Record</v>
      </c>
      <c r="AT1103" s="6" t="str">
        <f>HYPERLINK("http://www.worldcat.org/oclc/52821218","WorldCat Record")</f>
        <v>WorldCat Record</v>
      </c>
      <c r="AU1103" s="3" t="s">
        <v>13812</v>
      </c>
      <c r="AV1103" s="3" t="s">
        <v>13813</v>
      </c>
      <c r="AW1103" s="3" t="s">
        <v>13814</v>
      </c>
      <c r="AX1103" s="3" t="s">
        <v>13814</v>
      </c>
      <c r="AY1103" s="3" t="s">
        <v>13815</v>
      </c>
      <c r="AZ1103" s="3" t="s">
        <v>75</v>
      </c>
      <c r="BB1103" s="3" t="s">
        <v>13816</v>
      </c>
      <c r="BC1103" s="3" t="s">
        <v>13817</v>
      </c>
      <c r="BD1103" s="3" t="s">
        <v>13818</v>
      </c>
    </row>
    <row r="1104" spans="1:56" ht="39" customHeight="1" x14ac:dyDescent="0.25">
      <c r="A1104" s="7" t="s">
        <v>58</v>
      </c>
      <c r="B1104" s="2" t="s">
        <v>13819</v>
      </c>
      <c r="C1104" s="2" t="s">
        <v>13820</v>
      </c>
      <c r="D1104" s="2" t="s">
        <v>13821</v>
      </c>
      <c r="F1104" s="3" t="s">
        <v>58</v>
      </c>
      <c r="G1104" s="3" t="s">
        <v>59</v>
      </c>
      <c r="H1104" s="3" t="s">
        <v>58</v>
      </c>
      <c r="I1104" s="3" t="s">
        <v>58</v>
      </c>
      <c r="J1104" s="3" t="s">
        <v>60</v>
      </c>
      <c r="K1104" s="2" t="s">
        <v>13822</v>
      </c>
      <c r="L1104" s="2" t="s">
        <v>13823</v>
      </c>
      <c r="M1104" s="3" t="s">
        <v>98</v>
      </c>
      <c r="O1104" s="3" t="s">
        <v>65</v>
      </c>
      <c r="P1104" s="3" t="s">
        <v>1358</v>
      </c>
      <c r="Q1104" s="2" t="s">
        <v>13824</v>
      </c>
      <c r="R1104" s="3" t="s">
        <v>68</v>
      </c>
      <c r="S1104" s="4">
        <v>8</v>
      </c>
      <c r="T1104" s="4">
        <v>8</v>
      </c>
      <c r="U1104" s="5" t="s">
        <v>13825</v>
      </c>
      <c r="V1104" s="5" t="s">
        <v>13825</v>
      </c>
      <c r="W1104" s="5" t="s">
        <v>13475</v>
      </c>
      <c r="X1104" s="5" t="s">
        <v>13475</v>
      </c>
      <c r="Y1104" s="4">
        <v>401</v>
      </c>
      <c r="Z1104" s="4">
        <v>355</v>
      </c>
      <c r="AA1104" s="4">
        <v>372</v>
      </c>
      <c r="AB1104" s="4">
        <v>5</v>
      </c>
      <c r="AC1104" s="4">
        <v>5</v>
      </c>
      <c r="AD1104" s="4">
        <v>35</v>
      </c>
      <c r="AE1104" s="4">
        <v>35</v>
      </c>
      <c r="AF1104" s="4">
        <v>11</v>
      </c>
      <c r="AG1104" s="4">
        <v>11</v>
      </c>
      <c r="AH1104" s="4">
        <v>8</v>
      </c>
      <c r="AI1104" s="4">
        <v>8</v>
      </c>
      <c r="AJ1104" s="4">
        <v>23</v>
      </c>
      <c r="AK1104" s="4">
        <v>23</v>
      </c>
      <c r="AL1104" s="4">
        <v>2</v>
      </c>
      <c r="AM1104" s="4">
        <v>2</v>
      </c>
      <c r="AN1104" s="4">
        <v>2</v>
      </c>
      <c r="AO1104" s="4">
        <v>2</v>
      </c>
      <c r="AP1104" s="3" t="s">
        <v>58</v>
      </c>
      <c r="AQ1104" s="3" t="s">
        <v>132</v>
      </c>
      <c r="AR1104" s="6" t="str">
        <f>HYPERLINK("http://catalog.hathitrust.org/Record/001413465","HathiTrust Record")</f>
        <v>HathiTrust Record</v>
      </c>
      <c r="AS1104" s="6" t="str">
        <f>HYPERLINK("https://creighton-primo.hosted.exlibrisgroup.com/primo-explore/search?tab=default_tab&amp;search_scope=EVERYTHING&amp;vid=01CRU&amp;lang=en_US&amp;offset=0&amp;query=any,contains,991002659889702656","Catalog Record")</f>
        <v>Catalog Record</v>
      </c>
      <c r="AT1104" s="6" t="str">
        <f>HYPERLINK("http://www.worldcat.org/oclc/390999","WorldCat Record")</f>
        <v>WorldCat Record</v>
      </c>
      <c r="AU1104" s="3" t="s">
        <v>13826</v>
      </c>
      <c r="AV1104" s="3" t="s">
        <v>13827</v>
      </c>
      <c r="AW1104" s="3" t="s">
        <v>13828</v>
      </c>
      <c r="AX1104" s="3" t="s">
        <v>13828</v>
      </c>
      <c r="AY1104" s="3" t="s">
        <v>13829</v>
      </c>
      <c r="AZ1104" s="3" t="s">
        <v>75</v>
      </c>
      <c r="BC1104" s="3" t="s">
        <v>13830</v>
      </c>
      <c r="BD1104" s="3" t="s">
        <v>13831</v>
      </c>
    </row>
    <row r="1105" spans="1:56" ht="39" customHeight="1" x14ac:dyDescent="0.25">
      <c r="A1105" s="7" t="s">
        <v>58</v>
      </c>
      <c r="B1105" s="2" t="s">
        <v>13832</v>
      </c>
      <c r="C1105" s="2" t="s">
        <v>13833</v>
      </c>
      <c r="D1105" s="2" t="s">
        <v>13834</v>
      </c>
      <c r="F1105" s="3" t="s">
        <v>58</v>
      </c>
      <c r="G1105" s="3" t="s">
        <v>59</v>
      </c>
      <c r="H1105" s="3" t="s">
        <v>132</v>
      </c>
      <c r="I1105" s="3" t="s">
        <v>58</v>
      </c>
      <c r="J1105" s="3" t="s">
        <v>60</v>
      </c>
      <c r="K1105" s="2" t="s">
        <v>13835</v>
      </c>
      <c r="L1105" s="2" t="s">
        <v>13836</v>
      </c>
      <c r="M1105" s="3" t="s">
        <v>98</v>
      </c>
      <c r="O1105" s="3" t="s">
        <v>65</v>
      </c>
      <c r="P1105" s="3" t="s">
        <v>186</v>
      </c>
      <c r="Q1105" s="2" t="s">
        <v>13837</v>
      </c>
      <c r="R1105" s="3" t="s">
        <v>68</v>
      </c>
      <c r="S1105" s="4">
        <v>4</v>
      </c>
      <c r="T1105" s="4">
        <v>4</v>
      </c>
      <c r="U1105" s="5" t="s">
        <v>13838</v>
      </c>
      <c r="V1105" s="5" t="s">
        <v>13838</v>
      </c>
      <c r="W1105" s="5" t="s">
        <v>13475</v>
      </c>
      <c r="X1105" s="5" t="s">
        <v>13839</v>
      </c>
      <c r="Y1105" s="4">
        <v>851</v>
      </c>
      <c r="Z1105" s="4">
        <v>780</v>
      </c>
      <c r="AA1105" s="4">
        <v>787</v>
      </c>
      <c r="AB1105" s="4">
        <v>8</v>
      </c>
      <c r="AC1105" s="4">
        <v>8</v>
      </c>
      <c r="AD1105" s="4">
        <v>48</v>
      </c>
      <c r="AE1105" s="4">
        <v>48</v>
      </c>
      <c r="AF1105" s="4">
        <v>18</v>
      </c>
      <c r="AG1105" s="4">
        <v>18</v>
      </c>
      <c r="AH1105" s="4">
        <v>10</v>
      </c>
      <c r="AI1105" s="4">
        <v>10</v>
      </c>
      <c r="AJ1105" s="4">
        <v>26</v>
      </c>
      <c r="AK1105" s="4">
        <v>26</v>
      </c>
      <c r="AL1105" s="4">
        <v>5</v>
      </c>
      <c r="AM1105" s="4">
        <v>5</v>
      </c>
      <c r="AN1105" s="4">
        <v>2</v>
      </c>
      <c r="AO1105" s="4">
        <v>2</v>
      </c>
      <c r="AP1105" s="3" t="s">
        <v>58</v>
      </c>
      <c r="AQ1105" s="3" t="s">
        <v>132</v>
      </c>
      <c r="AR1105" s="6" t="str">
        <f>HYPERLINK("http://catalog.hathitrust.org/Record/001413464","HathiTrust Record")</f>
        <v>HathiTrust Record</v>
      </c>
      <c r="AS1105" s="6" t="str">
        <f>HYPERLINK("https://creighton-primo.hosted.exlibrisgroup.com/primo-explore/search?tab=default_tab&amp;search_scope=EVERYTHING&amp;vid=01CRU&amp;lang=en_US&amp;offset=0&amp;query=any,contains,991001633769702656","Catalog Record")</f>
        <v>Catalog Record</v>
      </c>
      <c r="AT1105" s="6" t="str">
        <f>HYPERLINK("http://www.worldcat.org/oclc/386627","WorldCat Record")</f>
        <v>WorldCat Record</v>
      </c>
      <c r="AU1105" s="3" t="s">
        <v>13840</v>
      </c>
      <c r="AV1105" s="3" t="s">
        <v>13841</v>
      </c>
      <c r="AW1105" s="3" t="s">
        <v>13842</v>
      </c>
      <c r="AX1105" s="3" t="s">
        <v>13842</v>
      </c>
      <c r="AY1105" s="3" t="s">
        <v>13843</v>
      </c>
      <c r="AZ1105" s="3" t="s">
        <v>75</v>
      </c>
      <c r="BC1105" s="3" t="s">
        <v>13844</v>
      </c>
      <c r="BD1105" s="3" t="s">
        <v>13845</v>
      </c>
    </row>
    <row r="1106" spans="1:56" ht="39" customHeight="1" x14ac:dyDescent="0.25">
      <c r="A1106" s="7" t="s">
        <v>58</v>
      </c>
      <c r="B1106" s="2" t="s">
        <v>13846</v>
      </c>
      <c r="C1106" s="2" t="s">
        <v>13847</v>
      </c>
      <c r="D1106" s="2" t="s">
        <v>13848</v>
      </c>
      <c r="F1106" s="3" t="s">
        <v>58</v>
      </c>
      <c r="G1106" s="3" t="s">
        <v>59</v>
      </c>
      <c r="H1106" s="3" t="s">
        <v>58</v>
      </c>
      <c r="I1106" s="3" t="s">
        <v>58</v>
      </c>
      <c r="J1106" s="3" t="s">
        <v>60</v>
      </c>
      <c r="K1106" s="2" t="s">
        <v>13849</v>
      </c>
      <c r="L1106" s="2" t="s">
        <v>13850</v>
      </c>
      <c r="M1106" s="3" t="s">
        <v>845</v>
      </c>
      <c r="O1106" s="3" t="s">
        <v>65</v>
      </c>
      <c r="P1106" s="3" t="s">
        <v>3503</v>
      </c>
      <c r="Q1106" s="2" t="s">
        <v>13851</v>
      </c>
      <c r="R1106" s="3" t="s">
        <v>68</v>
      </c>
      <c r="S1106" s="4">
        <v>5</v>
      </c>
      <c r="T1106" s="4">
        <v>5</v>
      </c>
      <c r="U1106" s="5" t="s">
        <v>13852</v>
      </c>
      <c r="V1106" s="5" t="s">
        <v>13852</v>
      </c>
      <c r="W1106" s="5" t="s">
        <v>13475</v>
      </c>
      <c r="X1106" s="5" t="s">
        <v>13475</v>
      </c>
      <c r="Y1106" s="4">
        <v>156</v>
      </c>
      <c r="Z1106" s="4">
        <v>141</v>
      </c>
      <c r="AA1106" s="4">
        <v>142</v>
      </c>
      <c r="AB1106" s="4">
        <v>1</v>
      </c>
      <c r="AC1106" s="4">
        <v>1</v>
      </c>
      <c r="AD1106" s="4">
        <v>23</v>
      </c>
      <c r="AE1106" s="4">
        <v>23</v>
      </c>
      <c r="AF1106" s="4">
        <v>9</v>
      </c>
      <c r="AG1106" s="4">
        <v>9</v>
      </c>
      <c r="AH1106" s="4">
        <v>6</v>
      </c>
      <c r="AI1106" s="4">
        <v>6</v>
      </c>
      <c r="AJ1106" s="4">
        <v>19</v>
      </c>
      <c r="AK1106" s="4">
        <v>19</v>
      </c>
      <c r="AL1106" s="4">
        <v>0</v>
      </c>
      <c r="AM1106" s="4">
        <v>0</v>
      </c>
      <c r="AN1106" s="4">
        <v>0</v>
      </c>
      <c r="AO1106" s="4">
        <v>0</v>
      </c>
      <c r="AP1106" s="3" t="s">
        <v>58</v>
      </c>
      <c r="AQ1106" s="3" t="s">
        <v>58</v>
      </c>
      <c r="AS1106" s="6" t="str">
        <f>HYPERLINK("https://creighton-primo.hosted.exlibrisgroup.com/primo-explore/search?tab=default_tab&amp;search_scope=EVERYTHING&amp;vid=01CRU&amp;lang=en_US&amp;offset=0&amp;query=any,contains,991000121779702656","Catalog Record")</f>
        <v>Catalog Record</v>
      </c>
      <c r="AT1106" s="6" t="str">
        <f>HYPERLINK("http://www.worldcat.org/oclc/50443","WorldCat Record")</f>
        <v>WorldCat Record</v>
      </c>
      <c r="AU1106" s="3" t="s">
        <v>13853</v>
      </c>
      <c r="AV1106" s="3" t="s">
        <v>13854</v>
      </c>
      <c r="AW1106" s="3" t="s">
        <v>13855</v>
      </c>
      <c r="AX1106" s="3" t="s">
        <v>13855</v>
      </c>
      <c r="AY1106" s="3" t="s">
        <v>13856</v>
      </c>
      <c r="AZ1106" s="3" t="s">
        <v>75</v>
      </c>
      <c r="BC1106" s="3" t="s">
        <v>13857</v>
      </c>
      <c r="BD1106" s="3" t="s">
        <v>13858</v>
      </c>
    </row>
    <row r="1107" spans="1:56" ht="39" customHeight="1" x14ac:dyDescent="0.25">
      <c r="A1107" s="7" t="s">
        <v>58</v>
      </c>
      <c r="B1107" s="2" t="s">
        <v>13859</v>
      </c>
      <c r="C1107" s="2" t="s">
        <v>13860</v>
      </c>
      <c r="D1107" s="2" t="s">
        <v>13861</v>
      </c>
      <c r="F1107" s="3" t="s">
        <v>58</v>
      </c>
      <c r="G1107" s="3" t="s">
        <v>59</v>
      </c>
      <c r="H1107" s="3" t="s">
        <v>58</v>
      </c>
      <c r="I1107" s="3" t="s">
        <v>58</v>
      </c>
      <c r="J1107" s="3" t="s">
        <v>60</v>
      </c>
      <c r="K1107" s="2" t="s">
        <v>13862</v>
      </c>
      <c r="L1107" s="2" t="s">
        <v>13863</v>
      </c>
      <c r="M1107" s="3" t="s">
        <v>83</v>
      </c>
      <c r="O1107" s="3" t="s">
        <v>65</v>
      </c>
      <c r="P1107" s="3" t="s">
        <v>346</v>
      </c>
      <c r="R1107" s="3" t="s">
        <v>68</v>
      </c>
      <c r="S1107" s="4">
        <v>1</v>
      </c>
      <c r="T1107" s="4">
        <v>1</v>
      </c>
      <c r="U1107" s="5" t="s">
        <v>6969</v>
      </c>
      <c r="V1107" s="5" t="s">
        <v>6969</v>
      </c>
      <c r="W1107" s="5" t="s">
        <v>6969</v>
      </c>
      <c r="X1107" s="5" t="s">
        <v>6969</v>
      </c>
      <c r="Y1107" s="4">
        <v>367</v>
      </c>
      <c r="Z1107" s="4">
        <v>340</v>
      </c>
      <c r="AA1107" s="4">
        <v>344</v>
      </c>
      <c r="AB1107" s="4">
        <v>2</v>
      </c>
      <c r="AC1107" s="4">
        <v>2</v>
      </c>
      <c r="AD1107" s="4">
        <v>13</v>
      </c>
      <c r="AE1107" s="4">
        <v>13</v>
      </c>
      <c r="AF1107" s="4">
        <v>5</v>
      </c>
      <c r="AG1107" s="4">
        <v>5</v>
      </c>
      <c r="AH1107" s="4">
        <v>3</v>
      </c>
      <c r="AI1107" s="4">
        <v>3</v>
      </c>
      <c r="AJ1107" s="4">
        <v>7</v>
      </c>
      <c r="AK1107" s="4">
        <v>7</v>
      </c>
      <c r="AL1107" s="4">
        <v>1</v>
      </c>
      <c r="AM1107" s="4">
        <v>1</v>
      </c>
      <c r="AN1107" s="4">
        <v>0</v>
      </c>
      <c r="AO1107" s="4">
        <v>0</v>
      </c>
      <c r="AP1107" s="3" t="s">
        <v>58</v>
      </c>
      <c r="AQ1107" s="3" t="s">
        <v>58</v>
      </c>
      <c r="AS1107" s="6" t="str">
        <f>HYPERLINK("https://creighton-primo.hosted.exlibrisgroup.com/primo-explore/search?tab=default_tab&amp;search_scope=EVERYTHING&amp;vid=01CRU&amp;lang=en_US&amp;offset=0&amp;query=any,contains,991005261309702656","Catalog Record")</f>
        <v>Catalog Record</v>
      </c>
      <c r="AT1107" s="6" t="str">
        <f>HYPERLINK("http://www.worldcat.org/oclc/384791","WorldCat Record")</f>
        <v>WorldCat Record</v>
      </c>
      <c r="AU1107" s="3" t="s">
        <v>13864</v>
      </c>
      <c r="AV1107" s="3" t="s">
        <v>13865</v>
      </c>
      <c r="AW1107" s="3" t="s">
        <v>13866</v>
      </c>
      <c r="AX1107" s="3" t="s">
        <v>13866</v>
      </c>
      <c r="AY1107" s="3" t="s">
        <v>13867</v>
      </c>
      <c r="AZ1107" s="3" t="s">
        <v>75</v>
      </c>
      <c r="BC1107" s="3" t="s">
        <v>13868</v>
      </c>
      <c r="BD1107" s="3" t="s">
        <v>13869</v>
      </c>
    </row>
    <row r="1108" spans="1:56" ht="39" customHeight="1" x14ac:dyDescent="0.25">
      <c r="A1108" s="7" t="s">
        <v>58</v>
      </c>
      <c r="B1108" s="2" t="s">
        <v>13870</v>
      </c>
      <c r="C1108" s="2" t="s">
        <v>13871</v>
      </c>
      <c r="D1108" s="2" t="s">
        <v>13872</v>
      </c>
      <c r="F1108" s="3" t="s">
        <v>58</v>
      </c>
      <c r="G1108" s="3" t="s">
        <v>59</v>
      </c>
      <c r="H1108" s="3" t="s">
        <v>58</v>
      </c>
      <c r="I1108" s="3" t="s">
        <v>58</v>
      </c>
      <c r="J1108" s="3" t="s">
        <v>60</v>
      </c>
      <c r="K1108" s="2" t="s">
        <v>13873</v>
      </c>
      <c r="L1108" s="2" t="s">
        <v>13874</v>
      </c>
      <c r="M1108" s="3" t="s">
        <v>389</v>
      </c>
      <c r="N1108" s="2" t="s">
        <v>13875</v>
      </c>
      <c r="O1108" s="3" t="s">
        <v>1490</v>
      </c>
      <c r="P1108" s="3" t="s">
        <v>954</v>
      </c>
      <c r="Q1108" s="2" t="s">
        <v>13876</v>
      </c>
      <c r="R1108" s="3" t="s">
        <v>68</v>
      </c>
      <c r="S1108" s="4">
        <v>4</v>
      </c>
      <c r="T1108" s="4">
        <v>4</v>
      </c>
      <c r="U1108" s="5" t="s">
        <v>13877</v>
      </c>
      <c r="V1108" s="5" t="s">
        <v>13877</v>
      </c>
      <c r="W1108" s="5" t="s">
        <v>13475</v>
      </c>
      <c r="X1108" s="5" t="s">
        <v>13475</v>
      </c>
      <c r="Y1108" s="4">
        <v>125</v>
      </c>
      <c r="Z1108" s="4">
        <v>67</v>
      </c>
      <c r="AA1108" s="4">
        <v>118</v>
      </c>
      <c r="AB1108" s="4">
        <v>1</v>
      </c>
      <c r="AC1108" s="4">
        <v>1</v>
      </c>
      <c r="AD1108" s="4">
        <v>5</v>
      </c>
      <c r="AE1108" s="4">
        <v>13</v>
      </c>
      <c r="AF1108" s="4">
        <v>1</v>
      </c>
      <c r="AG1108" s="4">
        <v>3</v>
      </c>
      <c r="AH1108" s="4">
        <v>1</v>
      </c>
      <c r="AI1108" s="4">
        <v>2</v>
      </c>
      <c r="AJ1108" s="4">
        <v>4</v>
      </c>
      <c r="AK1108" s="4">
        <v>11</v>
      </c>
      <c r="AL1108" s="4">
        <v>0</v>
      </c>
      <c r="AM1108" s="4">
        <v>0</v>
      </c>
      <c r="AN1108" s="4">
        <v>0</v>
      </c>
      <c r="AO1108" s="4">
        <v>0</v>
      </c>
      <c r="AP1108" s="3" t="s">
        <v>58</v>
      </c>
      <c r="AQ1108" s="3" t="s">
        <v>132</v>
      </c>
      <c r="AR1108" s="6" t="str">
        <f>HYPERLINK("http://catalog.hathitrust.org/Record/101873552","HathiTrust Record")</f>
        <v>HathiTrust Record</v>
      </c>
      <c r="AS1108" s="6" t="str">
        <f>HYPERLINK("https://creighton-primo.hosted.exlibrisgroup.com/primo-explore/search?tab=default_tab&amp;search_scope=EVERYTHING&amp;vid=01CRU&amp;lang=en_US&amp;offset=0&amp;query=any,contains,991003246659702656","Catalog Record")</f>
        <v>Catalog Record</v>
      </c>
      <c r="AT1108" s="6" t="str">
        <f>HYPERLINK("http://www.worldcat.org/oclc/10644192","WorldCat Record")</f>
        <v>WorldCat Record</v>
      </c>
      <c r="AU1108" s="3" t="s">
        <v>13878</v>
      </c>
      <c r="AV1108" s="3" t="s">
        <v>13879</v>
      </c>
      <c r="AW1108" s="3" t="s">
        <v>13880</v>
      </c>
      <c r="AX1108" s="3" t="s">
        <v>13880</v>
      </c>
      <c r="AY1108" s="3" t="s">
        <v>13881</v>
      </c>
      <c r="AZ1108" s="3" t="s">
        <v>75</v>
      </c>
      <c r="BC1108" s="3" t="s">
        <v>13882</v>
      </c>
      <c r="BD1108" s="3" t="s">
        <v>13883</v>
      </c>
    </row>
    <row r="1109" spans="1:56" ht="39" customHeight="1" x14ac:dyDescent="0.25">
      <c r="A1109" s="7" t="s">
        <v>58</v>
      </c>
      <c r="B1109" s="2" t="s">
        <v>13884</v>
      </c>
      <c r="C1109" s="2" t="s">
        <v>13885</v>
      </c>
      <c r="D1109" s="2" t="s">
        <v>13886</v>
      </c>
      <c r="F1109" s="3" t="s">
        <v>58</v>
      </c>
      <c r="G1109" s="3" t="s">
        <v>59</v>
      </c>
      <c r="H1109" s="3" t="s">
        <v>58</v>
      </c>
      <c r="I1109" s="3" t="s">
        <v>58</v>
      </c>
      <c r="J1109" s="3" t="s">
        <v>60</v>
      </c>
      <c r="K1109" s="2" t="s">
        <v>13873</v>
      </c>
      <c r="L1109" s="2" t="s">
        <v>13887</v>
      </c>
      <c r="M1109" s="3" t="s">
        <v>303</v>
      </c>
      <c r="O1109" s="3" t="s">
        <v>65</v>
      </c>
      <c r="P1109" s="3" t="s">
        <v>66</v>
      </c>
      <c r="Q1109" s="2" t="s">
        <v>13888</v>
      </c>
      <c r="R1109" s="3" t="s">
        <v>68</v>
      </c>
      <c r="S1109" s="4">
        <v>4</v>
      </c>
      <c r="T1109" s="4">
        <v>4</v>
      </c>
      <c r="U1109" s="5" t="s">
        <v>1878</v>
      </c>
      <c r="V1109" s="5" t="s">
        <v>1878</v>
      </c>
      <c r="W1109" s="5" t="s">
        <v>13889</v>
      </c>
      <c r="X1109" s="5" t="s">
        <v>13889</v>
      </c>
      <c r="Y1109" s="4">
        <v>114</v>
      </c>
      <c r="Z1109" s="4">
        <v>65</v>
      </c>
      <c r="AA1109" s="4">
        <v>82</v>
      </c>
      <c r="AB1109" s="4">
        <v>1</v>
      </c>
      <c r="AC1109" s="4">
        <v>1</v>
      </c>
      <c r="AD1109" s="4">
        <v>9</v>
      </c>
      <c r="AE1109" s="4">
        <v>10</v>
      </c>
      <c r="AF1109" s="4">
        <v>2</v>
      </c>
      <c r="AG1109" s="4">
        <v>3</v>
      </c>
      <c r="AH1109" s="4">
        <v>4</v>
      </c>
      <c r="AI1109" s="4">
        <v>4</v>
      </c>
      <c r="AJ1109" s="4">
        <v>5</v>
      </c>
      <c r="AK1109" s="4">
        <v>6</v>
      </c>
      <c r="AL1109" s="4">
        <v>0</v>
      </c>
      <c r="AM1109" s="4">
        <v>0</v>
      </c>
      <c r="AN1109" s="4">
        <v>0</v>
      </c>
      <c r="AO1109" s="4">
        <v>0</v>
      </c>
      <c r="AP1109" s="3" t="s">
        <v>58</v>
      </c>
      <c r="AQ1109" s="3" t="s">
        <v>58</v>
      </c>
      <c r="AS1109" s="6" t="str">
        <f>HYPERLINK("https://creighton-primo.hosted.exlibrisgroup.com/primo-explore/search?tab=default_tab&amp;search_scope=EVERYTHING&amp;vid=01CRU&amp;lang=en_US&amp;offset=0&amp;query=any,contains,991004404389702656","Catalog Record")</f>
        <v>Catalog Record</v>
      </c>
      <c r="AT1109" s="6" t="str">
        <f>HYPERLINK("http://www.worldcat.org/oclc/3315515","WorldCat Record")</f>
        <v>WorldCat Record</v>
      </c>
      <c r="AU1109" s="3" t="s">
        <v>13890</v>
      </c>
      <c r="AV1109" s="3" t="s">
        <v>13891</v>
      </c>
      <c r="AW1109" s="3" t="s">
        <v>13892</v>
      </c>
      <c r="AX1109" s="3" t="s">
        <v>13892</v>
      </c>
      <c r="AY1109" s="3" t="s">
        <v>13893</v>
      </c>
      <c r="AZ1109" s="3" t="s">
        <v>75</v>
      </c>
      <c r="BB1109" s="3" t="s">
        <v>13894</v>
      </c>
      <c r="BC1109" s="3" t="s">
        <v>13895</v>
      </c>
      <c r="BD1109" s="3" t="s">
        <v>13896</v>
      </c>
    </row>
    <row r="1110" spans="1:56" ht="39" customHeight="1" x14ac:dyDescent="0.25">
      <c r="A1110" s="7" t="s">
        <v>58</v>
      </c>
      <c r="B1110" s="2" t="s">
        <v>13897</v>
      </c>
      <c r="C1110" s="2" t="s">
        <v>13898</v>
      </c>
      <c r="D1110" s="2" t="s">
        <v>13899</v>
      </c>
      <c r="F1110" s="3" t="s">
        <v>58</v>
      </c>
      <c r="G1110" s="3" t="s">
        <v>59</v>
      </c>
      <c r="H1110" s="3" t="s">
        <v>58</v>
      </c>
      <c r="I1110" s="3" t="s">
        <v>58</v>
      </c>
      <c r="J1110" s="3" t="s">
        <v>60</v>
      </c>
      <c r="K1110" s="2" t="s">
        <v>13900</v>
      </c>
      <c r="L1110" s="2" t="s">
        <v>13901</v>
      </c>
      <c r="M1110" s="3" t="s">
        <v>157</v>
      </c>
      <c r="O1110" s="3" t="s">
        <v>65</v>
      </c>
      <c r="P1110" s="3" t="s">
        <v>1246</v>
      </c>
      <c r="R1110" s="3" t="s">
        <v>68</v>
      </c>
      <c r="S1110" s="4">
        <v>4</v>
      </c>
      <c r="T1110" s="4">
        <v>4</v>
      </c>
      <c r="U1110" s="5" t="s">
        <v>13902</v>
      </c>
      <c r="V1110" s="5" t="s">
        <v>13902</v>
      </c>
      <c r="W1110" s="5" t="s">
        <v>13903</v>
      </c>
      <c r="X1110" s="5" t="s">
        <v>13903</v>
      </c>
      <c r="Y1110" s="4">
        <v>33</v>
      </c>
      <c r="Z1110" s="4">
        <v>30</v>
      </c>
      <c r="AA1110" s="4">
        <v>30</v>
      </c>
      <c r="AB1110" s="4">
        <v>1</v>
      </c>
      <c r="AC1110" s="4">
        <v>1</v>
      </c>
      <c r="AD1110" s="4">
        <v>3</v>
      </c>
      <c r="AE1110" s="4">
        <v>3</v>
      </c>
      <c r="AF1110" s="4">
        <v>0</v>
      </c>
      <c r="AG1110" s="4">
        <v>0</v>
      </c>
      <c r="AH1110" s="4">
        <v>1</v>
      </c>
      <c r="AI1110" s="4">
        <v>1</v>
      </c>
      <c r="AJ1110" s="4">
        <v>2</v>
      </c>
      <c r="AK1110" s="4">
        <v>2</v>
      </c>
      <c r="AL1110" s="4">
        <v>0</v>
      </c>
      <c r="AM1110" s="4">
        <v>0</v>
      </c>
      <c r="AN1110" s="4">
        <v>0</v>
      </c>
      <c r="AO1110" s="4">
        <v>0</v>
      </c>
      <c r="AP1110" s="3" t="s">
        <v>58</v>
      </c>
      <c r="AQ1110" s="3" t="s">
        <v>58</v>
      </c>
      <c r="AS1110" s="6" t="str">
        <f>HYPERLINK("https://creighton-primo.hosted.exlibrisgroup.com/primo-explore/search?tab=default_tab&amp;search_scope=EVERYTHING&amp;vid=01CRU&amp;lang=en_US&amp;offset=0&amp;query=any,contains,991000460269702656","Catalog Record")</f>
        <v>Catalog Record</v>
      </c>
      <c r="AT1110" s="6" t="str">
        <f>HYPERLINK("http://www.worldcat.org/oclc/10925148","WorldCat Record")</f>
        <v>WorldCat Record</v>
      </c>
      <c r="AU1110" s="3" t="s">
        <v>13904</v>
      </c>
      <c r="AV1110" s="3" t="s">
        <v>13905</v>
      </c>
      <c r="AW1110" s="3" t="s">
        <v>13906</v>
      </c>
      <c r="AX1110" s="3" t="s">
        <v>13906</v>
      </c>
      <c r="AY1110" s="3" t="s">
        <v>13907</v>
      </c>
      <c r="AZ1110" s="3" t="s">
        <v>75</v>
      </c>
      <c r="BB1110" s="3" t="s">
        <v>13908</v>
      </c>
      <c r="BC1110" s="3" t="s">
        <v>13909</v>
      </c>
      <c r="BD1110" s="3" t="s">
        <v>13910</v>
      </c>
    </row>
    <row r="1111" spans="1:56" ht="39" customHeight="1" x14ac:dyDescent="0.25">
      <c r="A1111" s="7" t="s">
        <v>58</v>
      </c>
      <c r="B1111" s="2" t="s">
        <v>13911</v>
      </c>
      <c r="C1111" s="2" t="s">
        <v>13912</v>
      </c>
      <c r="D1111" s="2" t="s">
        <v>13913</v>
      </c>
      <c r="F1111" s="3" t="s">
        <v>58</v>
      </c>
      <c r="G1111" s="3" t="s">
        <v>59</v>
      </c>
      <c r="H1111" s="3" t="s">
        <v>58</v>
      </c>
      <c r="I1111" s="3" t="s">
        <v>58</v>
      </c>
      <c r="J1111" s="3" t="s">
        <v>60</v>
      </c>
      <c r="K1111" s="2" t="s">
        <v>13914</v>
      </c>
      <c r="L1111" s="2" t="s">
        <v>13915</v>
      </c>
      <c r="M1111" s="3" t="s">
        <v>966</v>
      </c>
      <c r="O1111" s="3" t="s">
        <v>65</v>
      </c>
      <c r="P1111" s="3" t="s">
        <v>113</v>
      </c>
      <c r="Q1111" s="2" t="s">
        <v>13916</v>
      </c>
      <c r="R1111" s="3" t="s">
        <v>68</v>
      </c>
      <c r="S1111" s="4">
        <v>3</v>
      </c>
      <c r="T1111" s="4">
        <v>3</v>
      </c>
      <c r="U1111" s="5" t="s">
        <v>4296</v>
      </c>
      <c r="V1111" s="5" t="s">
        <v>4296</v>
      </c>
      <c r="W1111" s="5" t="s">
        <v>13917</v>
      </c>
      <c r="X1111" s="5" t="s">
        <v>13917</v>
      </c>
      <c r="Y1111" s="4">
        <v>93</v>
      </c>
      <c r="Z1111" s="4">
        <v>88</v>
      </c>
      <c r="AA1111" s="4">
        <v>91</v>
      </c>
      <c r="AB1111" s="4">
        <v>1</v>
      </c>
      <c r="AC1111" s="4">
        <v>1</v>
      </c>
      <c r="AD1111" s="4">
        <v>12</v>
      </c>
      <c r="AE1111" s="4">
        <v>13</v>
      </c>
      <c r="AF1111" s="4">
        <v>3</v>
      </c>
      <c r="AG1111" s="4">
        <v>3</v>
      </c>
      <c r="AH1111" s="4">
        <v>4</v>
      </c>
      <c r="AI1111" s="4">
        <v>4</v>
      </c>
      <c r="AJ1111" s="4">
        <v>9</v>
      </c>
      <c r="AK1111" s="4">
        <v>10</v>
      </c>
      <c r="AL1111" s="4">
        <v>0</v>
      </c>
      <c r="AM1111" s="4">
        <v>0</v>
      </c>
      <c r="AN1111" s="4">
        <v>0</v>
      </c>
      <c r="AO1111" s="4">
        <v>0</v>
      </c>
      <c r="AP1111" s="3" t="s">
        <v>58</v>
      </c>
      <c r="AQ1111" s="3" t="s">
        <v>58</v>
      </c>
      <c r="AS1111" s="6" t="str">
        <f>HYPERLINK("https://creighton-primo.hosted.exlibrisgroup.com/primo-explore/search?tab=default_tab&amp;search_scope=EVERYTHING&amp;vid=01CRU&amp;lang=en_US&amp;offset=0&amp;query=any,contains,991002201569702656","Catalog Record")</f>
        <v>Catalog Record</v>
      </c>
      <c r="AT1111" s="6" t="str">
        <f>HYPERLINK("http://www.worldcat.org/oclc/28315274","WorldCat Record")</f>
        <v>WorldCat Record</v>
      </c>
      <c r="AU1111" s="3" t="s">
        <v>13918</v>
      </c>
      <c r="AV1111" s="3" t="s">
        <v>13919</v>
      </c>
      <c r="AW1111" s="3" t="s">
        <v>13920</v>
      </c>
      <c r="AX1111" s="3" t="s">
        <v>13920</v>
      </c>
      <c r="AY1111" s="3" t="s">
        <v>13921</v>
      </c>
      <c r="AZ1111" s="3" t="s">
        <v>75</v>
      </c>
      <c r="BB1111" s="3" t="s">
        <v>13922</v>
      </c>
      <c r="BC1111" s="3" t="s">
        <v>13923</v>
      </c>
      <c r="BD1111" s="3" t="s">
        <v>13924</v>
      </c>
    </row>
    <row r="1112" spans="1:56" ht="39" customHeight="1" x14ac:dyDescent="0.25">
      <c r="A1112" s="7" t="s">
        <v>58</v>
      </c>
      <c r="B1112" s="2" t="s">
        <v>13925</v>
      </c>
      <c r="C1112" s="2" t="s">
        <v>13926</v>
      </c>
      <c r="D1112" s="2" t="s">
        <v>13927</v>
      </c>
      <c r="F1112" s="3" t="s">
        <v>58</v>
      </c>
      <c r="G1112" s="3" t="s">
        <v>59</v>
      </c>
      <c r="H1112" s="3" t="s">
        <v>58</v>
      </c>
      <c r="I1112" s="3" t="s">
        <v>58</v>
      </c>
      <c r="J1112" s="3" t="s">
        <v>60</v>
      </c>
      <c r="K1112" s="2" t="s">
        <v>13928</v>
      </c>
      <c r="L1112" s="2" t="s">
        <v>13929</v>
      </c>
      <c r="M1112" s="3" t="s">
        <v>1302</v>
      </c>
      <c r="N1112" s="2" t="s">
        <v>13930</v>
      </c>
      <c r="O1112" s="3" t="s">
        <v>65</v>
      </c>
      <c r="P1112" s="3" t="s">
        <v>113</v>
      </c>
      <c r="R1112" s="3" t="s">
        <v>68</v>
      </c>
      <c r="S1112" s="4">
        <v>3</v>
      </c>
      <c r="T1112" s="4">
        <v>3</v>
      </c>
      <c r="U1112" s="5" t="s">
        <v>13931</v>
      </c>
      <c r="V1112" s="5" t="s">
        <v>13931</v>
      </c>
      <c r="W1112" s="5" t="s">
        <v>10946</v>
      </c>
      <c r="X1112" s="5" t="s">
        <v>10946</v>
      </c>
      <c r="Y1112" s="4">
        <v>82</v>
      </c>
      <c r="Z1112" s="4">
        <v>78</v>
      </c>
      <c r="AA1112" s="4">
        <v>78</v>
      </c>
      <c r="AB1112" s="4">
        <v>1</v>
      </c>
      <c r="AC1112" s="4">
        <v>1</v>
      </c>
      <c r="AD1112" s="4">
        <v>10</v>
      </c>
      <c r="AE1112" s="4">
        <v>10</v>
      </c>
      <c r="AF1112" s="4">
        <v>2</v>
      </c>
      <c r="AG1112" s="4">
        <v>2</v>
      </c>
      <c r="AH1112" s="4">
        <v>3</v>
      </c>
      <c r="AI1112" s="4">
        <v>3</v>
      </c>
      <c r="AJ1112" s="4">
        <v>7</v>
      </c>
      <c r="AK1112" s="4">
        <v>7</v>
      </c>
      <c r="AL1112" s="4">
        <v>0</v>
      </c>
      <c r="AM1112" s="4">
        <v>0</v>
      </c>
      <c r="AN1112" s="4">
        <v>0</v>
      </c>
      <c r="AO1112" s="4">
        <v>0</v>
      </c>
      <c r="AP1112" s="3" t="s">
        <v>58</v>
      </c>
      <c r="AQ1112" s="3" t="s">
        <v>58</v>
      </c>
      <c r="AS1112" s="6" t="str">
        <f>HYPERLINK("https://creighton-primo.hosted.exlibrisgroup.com/primo-explore/search?tab=default_tab&amp;search_scope=EVERYTHING&amp;vid=01CRU&amp;lang=en_US&amp;offset=0&amp;query=any,contains,991004031519702656","Catalog Record")</f>
        <v>Catalog Record</v>
      </c>
      <c r="AT1112" s="6" t="str">
        <f>HYPERLINK("http://www.worldcat.org/oclc/51881446","WorldCat Record")</f>
        <v>WorldCat Record</v>
      </c>
      <c r="AU1112" s="3" t="s">
        <v>13932</v>
      </c>
      <c r="AV1112" s="3" t="s">
        <v>13933</v>
      </c>
      <c r="AW1112" s="3" t="s">
        <v>13934</v>
      </c>
      <c r="AX1112" s="3" t="s">
        <v>13934</v>
      </c>
      <c r="AY1112" s="3" t="s">
        <v>13935</v>
      </c>
      <c r="AZ1112" s="3" t="s">
        <v>75</v>
      </c>
      <c r="BB1112" s="3" t="s">
        <v>13936</v>
      </c>
      <c r="BC1112" s="3" t="s">
        <v>13937</v>
      </c>
      <c r="BD1112" s="3" t="s">
        <v>13938</v>
      </c>
    </row>
    <row r="1113" spans="1:56" ht="39" customHeight="1" x14ac:dyDescent="0.25">
      <c r="A1113" s="7" t="s">
        <v>58</v>
      </c>
      <c r="B1113" s="2" t="s">
        <v>13939</v>
      </c>
      <c r="C1113" s="2" t="s">
        <v>13940</v>
      </c>
      <c r="D1113" s="2" t="s">
        <v>13941</v>
      </c>
      <c r="F1113" s="3" t="s">
        <v>58</v>
      </c>
      <c r="G1113" s="3" t="s">
        <v>59</v>
      </c>
      <c r="H1113" s="3" t="s">
        <v>58</v>
      </c>
      <c r="I1113" s="3" t="s">
        <v>58</v>
      </c>
      <c r="J1113" s="3" t="s">
        <v>60</v>
      </c>
      <c r="L1113" s="2" t="s">
        <v>258</v>
      </c>
      <c r="M1113" s="3" t="s">
        <v>144</v>
      </c>
      <c r="O1113" s="3" t="s">
        <v>65</v>
      </c>
      <c r="P1113" s="3" t="s">
        <v>186</v>
      </c>
      <c r="R1113" s="3" t="s">
        <v>68</v>
      </c>
      <c r="S1113" s="4">
        <v>6</v>
      </c>
      <c r="T1113" s="4">
        <v>6</v>
      </c>
      <c r="U1113" s="5" t="s">
        <v>4296</v>
      </c>
      <c r="V1113" s="5" t="s">
        <v>4296</v>
      </c>
      <c r="W1113" s="5" t="s">
        <v>13475</v>
      </c>
      <c r="X1113" s="5" t="s">
        <v>13475</v>
      </c>
      <c r="Y1113" s="4">
        <v>260</v>
      </c>
      <c r="Z1113" s="4">
        <v>235</v>
      </c>
      <c r="AA1113" s="4">
        <v>236</v>
      </c>
      <c r="AB1113" s="4">
        <v>1</v>
      </c>
      <c r="AC1113" s="4">
        <v>1</v>
      </c>
      <c r="AD1113" s="4">
        <v>21</v>
      </c>
      <c r="AE1113" s="4">
        <v>21</v>
      </c>
      <c r="AF1113" s="4">
        <v>7</v>
      </c>
      <c r="AG1113" s="4">
        <v>7</v>
      </c>
      <c r="AH1113" s="4">
        <v>5</v>
      </c>
      <c r="AI1113" s="4">
        <v>5</v>
      </c>
      <c r="AJ1113" s="4">
        <v>16</v>
      </c>
      <c r="AK1113" s="4">
        <v>16</v>
      </c>
      <c r="AL1113" s="4">
        <v>0</v>
      </c>
      <c r="AM1113" s="4">
        <v>0</v>
      </c>
      <c r="AN1113" s="4">
        <v>0</v>
      </c>
      <c r="AO1113" s="4">
        <v>0</v>
      </c>
      <c r="AP1113" s="3" t="s">
        <v>58</v>
      </c>
      <c r="AQ1113" s="3" t="s">
        <v>132</v>
      </c>
      <c r="AR1113" s="6" t="str">
        <f>HYPERLINK("http://catalog.hathitrust.org/Record/102374881","HathiTrust Record")</f>
        <v>HathiTrust Record</v>
      </c>
      <c r="AS1113" s="6" t="str">
        <f>HYPERLINK("https://creighton-primo.hosted.exlibrisgroup.com/primo-explore/search?tab=default_tab&amp;search_scope=EVERYTHING&amp;vid=01CRU&amp;lang=en_US&amp;offset=0&amp;query=any,contains,991004471499702656","Catalog Record")</f>
        <v>Catalog Record</v>
      </c>
      <c r="AT1113" s="6" t="str">
        <f>HYPERLINK("http://www.worldcat.org/oclc/3600115","WorldCat Record")</f>
        <v>WorldCat Record</v>
      </c>
      <c r="AU1113" s="3" t="s">
        <v>13942</v>
      </c>
      <c r="AV1113" s="3" t="s">
        <v>13943</v>
      </c>
      <c r="AW1113" s="3" t="s">
        <v>13944</v>
      </c>
      <c r="AX1113" s="3" t="s">
        <v>13944</v>
      </c>
      <c r="AY1113" s="3" t="s">
        <v>13945</v>
      </c>
      <c r="AZ1113" s="3" t="s">
        <v>75</v>
      </c>
      <c r="BB1113" s="3" t="s">
        <v>13946</v>
      </c>
      <c r="BC1113" s="3" t="s">
        <v>13947</v>
      </c>
      <c r="BD1113" s="3" t="s">
        <v>13948</v>
      </c>
    </row>
    <row r="1114" spans="1:56" ht="39" customHeight="1" x14ac:dyDescent="0.25">
      <c r="A1114" s="7" t="s">
        <v>58</v>
      </c>
      <c r="B1114" s="2" t="s">
        <v>13949</v>
      </c>
      <c r="C1114" s="2" t="s">
        <v>13950</v>
      </c>
      <c r="D1114" s="2" t="s">
        <v>13951</v>
      </c>
      <c r="F1114" s="3" t="s">
        <v>58</v>
      </c>
      <c r="G1114" s="3" t="s">
        <v>59</v>
      </c>
      <c r="H1114" s="3" t="s">
        <v>58</v>
      </c>
      <c r="I1114" s="3" t="s">
        <v>58</v>
      </c>
      <c r="J1114" s="3" t="s">
        <v>60</v>
      </c>
      <c r="K1114" s="2" t="s">
        <v>13952</v>
      </c>
      <c r="L1114" s="2" t="s">
        <v>13953</v>
      </c>
      <c r="M1114" s="3" t="s">
        <v>3656</v>
      </c>
      <c r="O1114" s="3" t="s">
        <v>65</v>
      </c>
      <c r="P1114" s="3" t="s">
        <v>201</v>
      </c>
      <c r="R1114" s="3" t="s">
        <v>68</v>
      </c>
      <c r="S1114" s="4">
        <v>8</v>
      </c>
      <c r="T1114" s="4">
        <v>8</v>
      </c>
      <c r="U1114" s="5" t="s">
        <v>13954</v>
      </c>
      <c r="V1114" s="5" t="s">
        <v>13954</v>
      </c>
      <c r="W1114" s="5" t="s">
        <v>12250</v>
      </c>
      <c r="X1114" s="5" t="s">
        <v>12250</v>
      </c>
      <c r="Y1114" s="4">
        <v>259</v>
      </c>
      <c r="Z1114" s="4">
        <v>226</v>
      </c>
      <c r="AA1114" s="4">
        <v>232</v>
      </c>
      <c r="AB1114" s="4">
        <v>3</v>
      </c>
      <c r="AC1114" s="4">
        <v>3</v>
      </c>
      <c r="AD1114" s="4">
        <v>20</v>
      </c>
      <c r="AE1114" s="4">
        <v>20</v>
      </c>
      <c r="AF1114" s="4">
        <v>7</v>
      </c>
      <c r="AG1114" s="4">
        <v>7</v>
      </c>
      <c r="AH1114" s="4">
        <v>3</v>
      </c>
      <c r="AI1114" s="4">
        <v>3</v>
      </c>
      <c r="AJ1114" s="4">
        <v>13</v>
      </c>
      <c r="AK1114" s="4">
        <v>13</v>
      </c>
      <c r="AL1114" s="4">
        <v>2</v>
      </c>
      <c r="AM1114" s="4">
        <v>2</v>
      </c>
      <c r="AN1114" s="4">
        <v>0</v>
      </c>
      <c r="AO1114" s="4">
        <v>0</v>
      </c>
      <c r="AP1114" s="3" t="s">
        <v>58</v>
      </c>
      <c r="AQ1114" s="3" t="s">
        <v>58</v>
      </c>
      <c r="AS1114" s="6" t="str">
        <f>HYPERLINK("https://creighton-primo.hosted.exlibrisgroup.com/primo-explore/search?tab=default_tab&amp;search_scope=EVERYTHING&amp;vid=01CRU&amp;lang=en_US&amp;offset=0&amp;query=any,contains,991002693289702656","Catalog Record")</f>
        <v>Catalog Record</v>
      </c>
      <c r="AT1114" s="6" t="str">
        <f>HYPERLINK("http://www.worldcat.org/oclc/35174811","WorldCat Record")</f>
        <v>WorldCat Record</v>
      </c>
      <c r="AU1114" s="3" t="s">
        <v>13955</v>
      </c>
      <c r="AV1114" s="3" t="s">
        <v>13956</v>
      </c>
      <c r="AW1114" s="3" t="s">
        <v>13957</v>
      </c>
      <c r="AX1114" s="3" t="s">
        <v>13957</v>
      </c>
      <c r="AY1114" s="3" t="s">
        <v>13958</v>
      </c>
      <c r="AZ1114" s="3" t="s">
        <v>75</v>
      </c>
      <c r="BB1114" s="3" t="s">
        <v>13959</v>
      </c>
      <c r="BC1114" s="3" t="s">
        <v>13960</v>
      </c>
      <c r="BD1114" s="3" t="s">
        <v>13961</v>
      </c>
    </row>
    <row r="1115" spans="1:56" ht="39" customHeight="1" x14ac:dyDescent="0.25">
      <c r="A1115" s="7" t="s">
        <v>58</v>
      </c>
      <c r="B1115" s="2" t="s">
        <v>13962</v>
      </c>
      <c r="C1115" s="2" t="s">
        <v>13963</v>
      </c>
      <c r="D1115" s="2" t="s">
        <v>13964</v>
      </c>
      <c r="F1115" s="3" t="s">
        <v>58</v>
      </c>
      <c r="G1115" s="3" t="s">
        <v>59</v>
      </c>
      <c r="H1115" s="3" t="s">
        <v>58</v>
      </c>
      <c r="I1115" s="3" t="s">
        <v>58</v>
      </c>
      <c r="J1115" s="3" t="s">
        <v>60</v>
      </c>
      <c r="L1115" s="2" t="s">
        <v>13965</v>
      </c>
      <c r="M1115" s="3" t="s">
        <v>4281</v>
      </c>
      <c r="O1115" s="3" t="s">
        <v>65</v>
      </c>
      <c r="P1115" s="3" t="s">
        <v>304</v>
      </c>
      <c r="R1115" s="3" t="s">
        <v>68</v>
      </c>
      <c r="S1115" s="4">
        <v>4</v>
      </c>
      <c r="T1115" s="4">
        <v>4</v>
      </c>
      <c r="U1115" s="5" t="s">
        <v>1374</v>
      </c>
      <c r="V1115" s="5" t="s">
        <v>1374</v>
      </c>
      <c r="W1115" s="5" t="s">
        <v>13966</v>
      </c>
      <c r="X1115" s="5" t="s">
        <v>13966</v>
      </c>
      <c r="Y1115" s="4">
        <v>329</v>
      </c>
      <c r="Z1115" s="4">
        <v>252</v>
      </c>
      <c r="AA1115" s="4">
        <v>255</v>
      </c>
      <c r="AB1115" s="4">
        <v>1</v>
      </c>
      <c r="AC1115" s="4">
        <v>1</v>
      </c>
      <c r="AD1115" s="4">
        <v>20</v>
      </c>
      <c r="AE1115" s="4">
        <v>20</v>
      </c>
      <c r="AF1115" s="4">
        <v>8</v>
      </c>
      <c r="AG1115" s="4">
        <v>8</v>
      </c>
      <c r="AH1115" s="4">
        <v>8</v>
      </c>
      <c r="AI1115" s="4">
        <v>8</v>
      </c>
      <c r="AJ1115" s="4">
        <v>10</v>
      </c>
      <c r="AK1115" s="4">
        <v>10</v>
      </c>
      <c r="AL1115" s="4">
        <v>0</v>
      </c>
      <c r="AM1115" s="4">
        <v>0</v>
      </c>
      <c r="AN1115" s="4">
        <v>0</v>
      </c>
      <c r="AO1115" s="4">
        <v>0</v>
      </c>
      <c r="AP1115" s="3" t="s">
        <v>58</v>
      </c>
      <c r="AQ1115" s="3" t="s">
        <v>132</v>
      </c>
      <c r="AR1115" s="6" t="str">
        <f>HYPERLINK("http://catalog.hathitrust.org/Record/004737336","HathiTrust Record")</f>
        <v>HathiTrust Record</v>
      </c>
      <c r="AS1115" s="6" t="str">
        <f>HYPERLINK("https://creighton-primo.hosted.exlibrisgroup.com/primo-explore/search?tab=default_tab&amp;search_scope=EVERYTHING&amp;vid=01CRU&amp;lang=en_US&amp;offset=0&amp;query=any,contains,991004682229702656","Catalog Record")</f>
        <v>Catalog Record</v>
      </c>
      <c r="AT1115" s="6" t="str">
        <f>HYPERLINK("http://www.worldcat.org/oclc/53483587","WorldCat Record")</f>
        <v>WorldCat Record</v>
      </c>
      <c r="AU1115" s="3" t="s">
        <v>13967</v>
      </c>
      <c r="AV1115" s="3" t="s">
        <v>13968</v>
      </c>
      <c r="AW1115" s="3" t="s">
        <v>13969</v>
      </c>
      <c r="AX1115" s="3" t="s">
        <v>13969</v>
      </c>
      <c r="AY1115" s="3" t="s">
        <v>13970</v>
      </c>
      <c r="AZ1115" s="3" t="s">
        <v>75</v>
      </c>
      <c r="BB1115" s="3" t="s">
        <v>13971</v>
      </c>
      <c r="BC1115" s="3" t="s">
        <v>13972</v>
      </c>
      <c r="BD1115" s="3" t="s">
        <v>13973</v>
      </c>
    </row>
    <row r="1116" spans="1:56" ht="39" customHeight="1" x14ac:dyDescent="0.25">
      <c r="A1116" s="7" t="s">
        <v>58</v>
      </c>
      <c r="B1116" s="2" t="s">
        <v>13974</v>
      </c>
      <c r="C1116" s="2" t="s">
        <v>13975</v>
      </c>
      <c r="D1116" s="2" t="s">
        <v>13976</v>
      </c>
      <c r="F1116" s="3" t="s">
        <v>58</v>
      </c>
      <c r="G1116" s="3" t="s">
        <v>59</v>
      </c>
      <c r="H1116" s="3" t="s">
        <v>58</v>
      </c>
      <c r="I1116" s="3" t="s">
        <v>58</v>
      </c>
      <c r="J1116" s="3" t="s">
        <v>60</v>
      </c>
      <c r="K1116" s="2" t="s">
        <v>13977</v>
      </c>
      <c r="L1116" s="2" t="s">
        <v>5107</v>
      </c>
      <c r="M1116" s="3" t="s">
        <v>289</v>
      </c>
      <c r="O1116" s="3" t="s">
        <v>65</v>
      </c>
      <c r="P1116" s="3" t="s">
        <v>113</v>
      </c>
      <c r="R1116" s="3" t="s">
        <v>68</v>
      </c>
      <c r="S1116" s="4">
        <v>7</v>
      </c>
      <c r="T1116" s="4">
        <v>7</v>
      </c>
      <c r="U1116" s="5" t="s">
        <v>3442</v>
      </c>
      <c r="V1116" s="5" t="s">
        <v>3442</v>
      </c>
      <c r="W1116" s="5" t="s">
        <v>3947</v>
      </c>
      <c r="X1116" s="5" t="s">
        <v>3947</v>
      </c>
      <c r="Y1116" s="4">
        <v>190</v>
      </c>
      <c r="Z1116" s="4">
        <v>152</v>
      </c>
      <c r="AA1116" s="4">
        <v>152</v>
      </c>
      <c r="AB1116" s="4">
        <v>2</v>
      </c>
      <c r="AC1116" s="4">
        <v>2</v>
      </c>
      <c r="AD1116" s="4">
        <v>23</v>
      </c>
      <c r="AE1116" s="4">
        <v>23</v>
      </c>
      <c r="AF1116" s="4">
        <v>4</v>
      </c>
      <c r="AG1116" s="4">
        <v>4</v>
      </c>
      <c r="AH1116" s="4">
        <v>7</v>
      </c>
      <c r="AI1116" s="4">
        <v>7</v>
      </c>
      <c r="AJ1116" s="4">
        <v>18</v>
      </c>
      <c r="AK1116" s="4">
        <v>18</v>
      </c>
      <c r="AL1116" s="4">
        <v>1</v>
      </c>
      <c r="AM1116" s="4">
        <v>1</v>
      </c>
      <c r="AN1116" s="4">
        <v>0</v>
      </c>
      <c r="AO1116" s="4">
        <v>0</v>
      </c>
      <c r="AP1116" s="3" t="s">
        <v>58</v>
      </c>
      <c r="AQ1116" s="3" t="s">
        <v>58</v>
      </c>
      <c r="AS1116" s="6" t="str">
        <f>HYPERLINK("https://creighton-primo.hosted.exlibrisgroup.com/primo-explore/search?tab=default_tab&amp;search_scope=EVERYTHING&amp;vid=01CRU&amp;lang=en_US&amp;offset=0&amp;query=any,contains,991005175659702656","Catalog Record")</f>
        <v>Catalog Record</v>
      </c>
      <c r="AT1116" s="6" t="str">
        <f>HYPERLINK("http://www.worldcat.org/oclc/7922532","WorldCat Record")</f>
        <v>WorldCat Record</v>
      </c>
      <c r="AU1116" s="3" t="s">
        <v>13978</v>
      </c>
      <c r="AV1116" s="3" t="s">
        <v>13979</v>
      </c>
      <c r="AW1116" s="3" t="s">
        <v>13980</v>
      </c>
      <c r="AX1116" s="3" t="s">
        <v>13980</v>
      </c>
      <c r="AY1116" s="3" t="s">
        <v>13981</v>
      </c>
      <c r="AZ1116" s="3" t="s">
        <v>75</v>
      </c>
      <c r="BB1116" s="3" t="s">
        <v>13982</v>
      </c>
      <c r="BC1116" s="3" t="s">
        <v>13983</v>
      </c>
      <c r="BD1116" s="3" t="s">
        <v>13984</v>
      </c>
    </row>
    <row r="1117" spans="1:56" ht="39" customHeight="1" x14ac:dyDescent="0.25">
      <c r="A1117" s="7" t="s">
        <v>58</v>
      </c>
      <c r="B1117" s="2" t="s">
        <v>13985</v>
      </c>
      <c r="C1117" s="2" t="s">
        <v>13986</v>
      </c>
      <c r="D1117" s="2" t="s">
        <v>13987</v>
      </c>
      <c r="F1117" s="3" t="s">
        <v>58</v>
      </c>
      <c r="G1117" s="3" t="s">
        <v>59</v>
      </c>
      <c r="H1117" s="3" t="s">
        <v>58</v>
      </c>
      <c r="I1117" s="3" t="s">
        <v>58</v>
      </c>
      <c r="J1117" s="3" t="s">
        <v>60</v>
      </c>
      <c r="K1117" s="2" t="s">
        <v>13988</v>
      </c>
      <c r="L1117" s="2" t="s">
        <v>13989</v>
      </c>
      <c r="M1117" s="3" t="s">
        <v>389</v>
      </c>
      <c r="O1117" s="3" t="s">
        <v>65</v>
      </c>
      <c r="P1117" s="3" t="s">
        <v>186</v>
      </c>
      <c r="R1117" s="3" t="s">
        <v>68</v>
      </c>
      <c r="S1117" s="4">
        <v>1</v>
      </c>
      <c r="T1117" s="4">
        <v>1</v>
      </c>
      <c r="U1117" s="5" t="s">
        <v>13990</v>
      </c>
      <c r="V1117" s="5" t="s">
        <v>13990</v>
      </c>
      <c r="W1117" s="5" t="s">
        <v>13991</v>
      </c>
      <c r="X1117" s="5" t="s">
        <v>13991</v>
      </c>
      <c r="Y1117" s="4">
        <v>219</v>
      </c>
      <c r="Z1117" s="4">
        <v>195</v>
      </c>
      <c r="AA1117" s="4">
        <v>200</v>
      </c>
      <c r="AB1117" s="4">
        <v>3</v>
      </c>
      <c r="AC1117" s="4">
        <v>3</v>
      </c>
      <c r="AD1117" s="4">
        <v>27</v>
      </c>
      <c r="AE1117" s="4">
        <v>27</v>
      </c>
      <c r="AF1117" s="4">
        <v>6</v>
      </c>
      <c r="AG1117" s="4">
        <v>6</v>
      </c>
      <c r="AH1117" s="4">
        <v>8</v>
      </c>
      <c r="AI1117" s="4">
        <v>8</v>
      </c>
      <c r="AJ1117" s="4">
        <v>21</v>
      </c>
      <c r="AK1117" s="4">
        <v>21</v>
      </c>
      <c r="AL1117" s="4">
        <v>1</v>
      </c>
      <c r="AM1117" s="4">
        <v>1</v>
      </c>
      <c r="AN1117" s="4">
        <v>0</v>
      </c>
      <c r="AO1117" s="4">
        <v>0</v>
      </c>
      <c r="AP1117" s="3" t="s">
        <v>58</v>
      </c>
      <c r="AQ1117" s="3" t="s">
        <v>58</v>
      </c>
      <c r="AS1117" s="6" t="str">
        <f>HYPERLINK("https://creighton-primo.hosted.exlibrisgroup.com/primo-explore/search?tab=default_tab&amp;search_scope=EVERYTHING&amp;vid=01CRU&amp;lang=en_US&amp;offset=0&amp;query=any,contains,991002792609702656","Catalog Record")</f>
        <v>Catalog Record</v>
      </c>
      <c r="AT1117" s="6" t="str">
        <f>HYPERLINK("http://www.worldcat.org/oclc/444117","WorldCat Record")</f>
        <v>WorldCat Record</v>
      </c>
      <c r="AU1117" s="3" t="s">
        <v>13992</v>
      </c>
      <c r="AV1117" s="3" t="s">
        <v>13993</v>
      </c>
      <c r="AW1117" s="3" t="s">
        <v>13994</v>
      </c>
      <c r="AX1117" s="3" t="s">
        <v>13994</v>
      </c>
      <c r="AY1117" s="3" t="s">
        <v>13995</v>
      </c>
      <c r="AZ1117" s="3" t="s">
        <v>75</v>
      </c>
      <c r="BC1117" s="3" t="s">
        <v>13996</v>
      </c>
      <c r="BD1117" s="3" t="s">
        <v>13997</v>
      </c>
    </row>
    <row r="1118" spans="1:56" ht="39" customHeight="1" x14ac:dyDescent="0.25">
      <c r="A1118" s="7" t="s">
        <v>58</v>
      </c>
      <c r="B1118" s="2" t="s">
        <v>13998</v>
      </c>
      <c r="C1118" s="2" t="s">
        <v>13999</v>
      </c>
      <c r="D1118" s="2" t="s">
        <v>14000</v>
      </c>
      <c r="F1118" s="3" t="s">
        <v>58</v>
      </c>
      <c r="G1118" s="3" t="s">
        <v>59</v>
      </c>
      <c r="H1118" s="3" t="s">
        <v>58</v>
      </c>
      <c r="I1118" s="3" t="s">
        <v>58</v>
      </c>
      <c r="J1118" s="3" t="s">
        <v>60</v>
      </c>
      <c r="K1118" s="2" t="s">
        <v>14001</v>
      </c>
      <c r="L1118" s="2" t="s">
        <v>14002</v>
      </c>
      <c r="M1118" s="3" t="s">
        <v>1289</v>
      </c>
      <c r="O1118" s="3" t="s">
        <v>65</v>
      </c>
      <c r="P1118" s="3" t="s">
        <v>304</v>
      </c>
      <c r="R1118" s="3" t="s">
        <v>68</v>
      </c>
      <c r="S1118" s="4">
        <v>1</v>
      </c>
      <c r="T1118" s="4">
        <v>1</v>
      </c>
      <c r="U1118" s="5" t="s">
        <v>5214</v>
      </c>
      <c r="V1118" s="5" t="s">
        <v>5214</v>
      </c>
      <c r="W1118" s="5" t="s">
        <v>5214</v>
      </c>
      <c r="X1118" s="5" t="s">
        <v>5214</v>
      </c>
      <c r="Y1118" s="4">
        <v>44</v>
      </c>
      <c r="Z1118" s="4">
        <v>41</v>
      </c>
      <c r="AA1118" s="4">
        <v>46</v>
      </c>
      <c r="AB1118" s="4">
        <v>1</v>
      </c>
      <c r="AC1118" s="4">
        <v>1</v>
      </c>
      <c r="AD1118" s="4">
        <v>4</v>
      </c>
      <c r="AE1118" s="4">
        <v>4</v>
      </c>
      <c r="AF1118" s="4">
        <v>1</v>
      </c>
      <c r="AG1118" s="4">
        <v>1</v>
      </c>
      <c r="AH1118" s="4">
        <v>1</v>
      </c>
      <c r="AI1118" s="4">
        <v>1</v>
      </c>
      <c r="AJ1118" s="4">
        <v>3</v>
      </c>
      <c r="AK1118" s="4">
        <v>3</v>
      </c>
      <c r="AL1118" s="4">
        <v>0</v>
      </c>
      <c r="AM1118" s="4">
        <v>0</v>
      </c>
      <c r="AN1118" s="4">
        <v>0</v>
      </c>
      <c r="AO1118" s="4">
        <v>0</v>
      </c>
      <c r="AP1118" s="3" t="s">
        <v>58</v>
      </c>
      <c r="AQ1118" s="3" t="s">
        <v>58</v>
      </c>
      <c r="AS1118" s="6" t="str">
        <f>HYPERLINK("https://creighton-primo.hosted.exlibrisgroup.com/primo-explore/search?tab=default_tab&amp;search_scope=EVERYTHING&amp;vid=01CRU&amp;lang=en_US&amp;offset=0&amp;query=any,contains,991005079439702656","Catalog Record")</f>
        <v>Catalog Record</v>
      </c>
      <c r="AT1118" s="6" t="str">
        <f>HYPERLINK("http://www.worldcat.org/oclc/50941901","WorldCat Record")</f>
        <v>WorldCat Record</v>
      </c>
      <c r="AU1118" s="3" t="s">
        <v>14003</v>
      </c>
      <c r="AV1118" s="3" t="s">
        <v>14004</v>
      </c>
      <c r="AW1118" s="3" t="s">
        <v>14005</v>
      </c>
      <c r="AX1118" s="3" t="s">
        <v>14005</v>
      </c>
      <c r="AY1118" s="3" t="s">
        <v>14006</v>
      </c>
      <c r="AZ1118" s="3" t="s">
        <v>75</v>
      </c>
      <c r="BB1118" s="3" t="s">
        <v>14007</v>
      </c>
      <c r="BC1118" s="3" t="s">
        <v>14008</v>
      </c>
      <c r="BD1118" s="3" t="s">
        <v>14009</v>
      </c>
    </row>
    <row r="1119" spans="1:56" ht="39" customHeight="1" x14ac:dyDescent="0.25">
      <c r="A1119" s="7" t="s">
        <v>58</v>
      </c>
      <c r="B1119" s="2" t="s">
        <v>14010</v>
      </c>
      <c r="C1119" s="2" t="s">
        <v>14011</v>
      </c>
      <c r="D1119" s="2" t="s">
        <v>14012</v>
      </c>
      <c r="F1119" s="3" t="s">
        <v>58</v>
      </c>
      <c r="G1119" s="3" t="s">
        <v>59</v>
      </c>
      <c r="H1119" s="3" t="s">
        <v>58</v>
      </c>
      <c r="I1119" s="3" t="s">
        <v>58</v>
      </c>
      <c r="J1119" s="3" t="s">
        <v>60</v>
      </c>
      <c r="K1119" s="2" t="s">
        <v>14013</v>
      </c>
      <c r="L1119" s="2" t="s">
        <v>14014</v>
      </c>
      <c r="M1119" s="3" t="s">
        <v>415</v>
      </c>
      <c r="O1119" s="3" t="s">
        <v>1490</v>
      </c>
      <c r="P1119" s="3" t="s">
        <v>3393</v>
      </c>
      <c r="Q1119" s="2" t="s">
        <v>14015</v>
      </c>
      <c r="R1119" s="3" t="s">
        <v>68</v>
      </c>
      <c r="S1119" s="4">
        <v>1</v>
      </c>
      <c r="T1119" s="4">
        <v>1</v>
      </c>
      <c r="U1119" s="5" t="s">
        <v>14016</v>
      </c>
      <c r="V1119" s="5" t="s">
        <v>14016</v>
      </c>
      <c r="W1119" s="5" t="s">
        <v>13991</v>
      </c>
      <c r="X1119" s="5" t="s">
        <v>13991</v>
      </c>
      <c r="Y1119" s="4">
        <v>159</v>
      </c>
      <c r="Z1119" s="4">
        <v>130</v>
      </c>
      <c r="AA1119" s="4">
        <v>152</v>
      </c>
      <c r="AB1119" s="4">
        <v>2</v>
      </c>
      <c r="AC1119" s="4">
        <v>2</v>
      </c>
      <c r="AD1119" s="4">
        <v>15</v>
      </c>
      <c r="AE1119" s="4">
        <v>16</v>
      </c>
      <c r="AF1119" s="4">
        <v>4</v>
      </c>
      <c r="AG1119" s="4">
        <v>4</v>
      </c>
      <c r="AH1119" s="4">
        <v>3</v>
      </c>
      <c r="AI1119" s="4">
        <v>4</v>
      </c>
      <c r="AJ1119" s="4">
        <v>12</v>
      </c>
      <c r="AK1119" s="4">
        <v>12</v>
      </c>
      <c r="AL1119" s="4">
        <v>1</v>
      </c>
      <c r="AM1119" s="4">
        <v>1</v>
      </c>
      <c r="AN1119" s="4">
        <v>0</v>
      </c>
      <c r="AO1119" s="4">
        <v>0</v>
      </c>
      <c r="AP1119" s="3" t="s">
        <v>58</v>
      </c>
      <c r="AQ1119" s="3" t="s">
        <v>132</v>
      </c>
      <c r="AR1119" s="6" t="str">
        <f>HYPERLINK("http://catalog.hathitrust.org/Record/001399439","HathiTrust Record")</f>
        <v>HathiTrust Record</v>
      </c>
      <c r="AS1119" s="6" t="str">
        <f>HYPERLINK("https://creighton-primo.hosted.exlibrisgroup.com/primo-explore/search?tab=default_tab&amp;search_scope=EVERYTHING&amp;vid=01CRU&amp;lang=en_US&amp;offset=0&amp;query=any,contains,991003944869702656","Catalog Record")</f>
        <v>Catalog Record</v>
      </c>
      <c r="AT1119" s="6" t="str">
        <f>HYPERLINK("http://www.worldcat.org/oclc/1944684","WorldCat Record")</f>
        <v>WorldCat Record</v>
      </c>
      <c r="AU1119" s="3" t="s">
        <v>14017</v>
      </c>
      <c r="AV1119" s="3" t="s">
        <v>14018</v>
      </c>
      <c r="AW1119" s="3" t="s">
        <v>14019</v>
      </c>
      <c r="AX1119" s="3" t="s">
        <v>14019</v>
      </c>
      <c r="AY1119" s="3" t="s">
        <v>14020</v>
      </c>
      <c r="AZ1119" s="3" t="s">
        <v>75</v>
      </c>
      <c r="BC1119" s="3" t="s">
        <v>14021</v>
      </c>
      <c r="BD1119" s="3" t="s">
        <v>14022</v>
      </c>
    </row>
    <row r="1120" spans="1:56" ht="39" customHeight="1" x14ac:dyDescent="0.25">
      <c r="A1120" s="7" t="s">
        <v>58</v>
      </c>
      <c r="B1120" s="2" t="s">
        <v>14023</v>
      </c>
      <c r="C1120" s="2" t="s">
        <v>14024</v>
      </c>
      <c r="D1120" s="2" t="s">
        <v>14025</v>
      </c>
      <c r="F1120" s="3" t="s">
        <v>58</v>
      </c>
      <c r="G1120" s="3" t="s">
        <v>59</v>
      </c>
      <c r="H1120" s="3" t="s">
        <v>58</v>
      </c>
      <c r="I1120" s="3" t="s">
        <v>58</v>
      </c>
      <c r="J1120" s="3" t="s">
        <v>60</v>
      </c>
      <c r="K1120" s="2" t="s">
        <v>14026</v>
      </c>
      <c r="L1120" s="2" t="s">
        <v>14027</v>
      </c>
      <c r="M1120" s="3" t="s">
        <v>781</v>
      </c>
      <c r="O1120" s="3" t="s">
        <v>1490</v>
      </c>
      <c r="P1120" s="3" t="s">
        <v>3393</v>
      </c>
      <c r="Q1120" s="2" t="s">
        <v>14028</v>
      </c>
      <c r="R1120" s="3" t="s">
        <v>68</v>
      </c>
      <c r="S1120" s="4">
        <v>1</v>
      </c>
      <c r="T1120" s="4">
        <v>1</v>
      </c>
      <c r="U1120" s="5" t="s">
        <v>14029</v>
      </c>
      <c r="V1120" s="5" t="s">
        <v>14029</v>
      </c>
      <c r="W1120" s="5" t="s">
        <v>13991</v>
      </c>
      <c r="X1120" s="5" t="s">
        <v>13991</v>
      </c>
      <c r="Y1120" s="4">
        <v>83</v>
      </c>
      <c r="Z1120" s="4">
        <v>43</v>
      </c>
      <c r="AA1120" s="4">
        <v>44</v>
      </c>
      <c r="AB1120" s="4">
        <v>1</v>
      </c>
      <c r="AC1120" s="4">
        <v>1</v>
      </c>
      <c r="AD1120" s="4">
        <v>6</v>
      </c>
      <c r="AE1120" s="4">
        <v>6</v>
      </c>
      <c r="AF1120" s="4">
        <v>0</v>
      </c>
      <c r="AG1120" s="4">
        <v>0</v>
      </c>
      <c r="AH1120" s="4">
        <v>3</v>
      </c>
      <c r="AI1120" s="4">
        <v>3</v>
      </c>
      <c r="AJ1120" s="4">
        <v>4</v>
      </c>
      <c r="AK1120" s="4">
        <v>4</v>
      </c>
      <c r="AL1120" s="4">
        <v>0</v>
      </c>
      <c r="AM1120" s="4">
        <v>0</v>
      </c>
      <c r="AN1120" s="4">
        <v>0</v>
      </c>
      <c r="AO1120" s="4">
        <v>0</v>
      </c>
      <c r="AP1120" s="3" t="s">
        <v>58</v>
      </c>
      <c r="AQ1120" s="3" t="s">
        <v>58</v>
      </c>
      <c r="AS1120" s="6" t="str">
        <f>HYPERLINK("https://creighton-primo.hosted.exlibrisgroup.com/primo-explore/search?tab=default_tab&amp;search_scope=EVERYTHING&amp;vid=01CRU&amp;lang=en_US&amp;offset=0&amp;query=any,contains,991000824499702656","Catalog Record")</f>
        <v>Catalog Record</v>
      </c>
      <c r="AT1120" s="6" t="str">
        <f>HYPERLINK("http://www.worldcat.org/oclc/13407654","WorldCat Record")</f>
        <v>WorldCat Record</v>
      </c>
      <c r="AU1120" s="3" t="s">
        <v>14030</v>
      </c>
      <c r="AV1120" s="3" t="s">
        <v>14031</v>
      </c>
      <c r="AW1120" s="3" t="s">
        <v>14032</v>
      </c>
      <c r="AX1120" s="3" t="s">
        <v>14032</v>
      </c>
      <c r="AY1120" s="3" t="s">
        <v>14033</v>
      </c>
      <c r="AZ1120" s="3" t="s">
        <v>75</v>
      </c>
      <c r="BB1120" s="3" t="s">
        <v>14034</v>
      </c>
      <c r="BC1120" s="3" t="s">
        <v>14035</v>
      </c>
      <c r="BD1120" s="3" t="s">
        <v>14036</v>
      </c>
    </row>
    <row r="1121" spans="1:56" ht="39" customHeight="1" x14ac:dyDescent="0.25">
      <c r="A1121" s="7" t="s">
        <v>58</v>
      </c>
      <c r="B1121" s="2" t="s">
        <v>14037</v>
      </c>
      <c r="C1121" s="2" t="s">
        <v>14038</v>
      </c>
      <c r="D1121" s="2" t="s">
        <v>14039</v>
      </c>
      <c r="F1121" s="3" t="s">
        <v>58</v>
      </c>
      <c r="G1121" s="3" t="s">
        <v>59</v>
      </c>
      <c r="H1121" s="3" t="s">
        <v>58</v>
      </c>
      <c r="I1121" s="3" t="s">
        <v>58</v>
      </c>
      <c r="J1121" s="3" t="s">
        <v>60</v>
      </c>
      <c r="K1121" s="2" t="s">
        <v>14040</v>
      </c>
      <c r="L1121" s="2" t="s">
        <v>14041</v>
      </c>
      <c r="M1121" s="3" t="s">
        <v>845</v>
      </c>
      <c r="O1121" s="3" t="s">
        <v>65</v>
      </c>
      <c r="P1121" s="3" t="s">
        <v>186</v>
      </c>
      <c r="R1121" s="3" t="s">
        <v>68</v>
      </c>
      <c r="S1121" s="4">
        <v>4</v>
      </c>
      <c r="T1121" s="4">
        <v>4</v>
      </c>
      <c r="U1121" s="5" t="s">
        <v>14042</v>
      </c>
      <c r="V1121" s="5" t="s">
        <v>14042</v>
      </c>
      <c r="W1121" s="5" t="s">
        <v>14043</v>
      </c>
      <c r="X1121" s="5" t="s">
        <v>14043</v>
      </c>
      <c r="Y1121" s="4">
        <v>299</v>
      </c>
      <c r="Z1121" s="4">
        <v>263</v>
      </c>
      <c r="AA1121" s="4">
        <v>358</v>
      </c>
      <c r="AB1121" s="4">
        <v>2</v>
      </c>
      <c r="AC1121" s="4">
        <v>2</v>
      </c>
      <c r="AD1121" s="4">
        <v>17</v>
      </c>
      <c r="AE1121" s="4">
        <v>19</v>
      </c>
      <c r="AF1121" s="4">
        <v>6</v>
      </c>
      <c r="AG1121" s="4">
        <v>8</v>
      </c>
      <c r="AH1121" s="4">
        <v>3</v>
      </c>
      <c r="AI1121" s="4">
        <v>3</v>
      </c>
      <c r="AJ1121" s="4">
        <v>10</v>
      </c>
      <c r="AK1121" s="4">
        <v>10</v>
      </c>
      <c r="AL1121" s="4">
        <v>1</v>
      </c>
      <c r="AM1121" s="4">
        <v>1</v>
      </c>
      <c r="AN1121" s="4">
        <v>0</v>
      </c>
      <c r="AO1121" s="4">
        <v>0</v>
      </c>
      <c r="AP1121" s="3" t="s">
        <v>58</v>
      </c>
      <c r="AQ1121" s="3" t="s">
        <v>58</v>
      </c>
      <c r="AS1121" s="6" t="str">
        <f>HYPERLINK("https://creighton-primo.hosted.exlibrisgroup.com/primo-explore/search?tab=default_tab&amp;search_scope=EVERYTHING&amp;vid=01CRU&amp;lang=en_US&amp;offset=0&amp;query=any,contains,991005434989702656","Catalog Record")</f>
        <v>Catalog Record</v>
      </c>
      <c r="AT1121" s="6" t="str">
        <f>HYPERLINK("http://www.worldcat.org/oclc/2698","WorldCat Record")</f>
        <v>WorldCat Record</v>
      </c>
      <c r="AU1121" s="3" t="s">
        <v>14044</v>
      </c>
      <c r="AV1121" s="3" t="s">
        <v>14045</v>
      </c>
      <c r="AW1121" s="3" t="s">
        <v>14046</v>
      </c>
      <c r="AX1121" s="3" t="s">
        <v>14046</v>
      </c>
      <c r="AY1121" s="3" t="s">
        <v>14047</v>
      </c>
      <c r="AZ1121" s="3" t="s">
        <v>75</v>
      </c>
      <c r="BC1121" s="3" t="s">
        <v>14048</v>
      </c>
      <c r="BD1121" s="3" t="s">
        <v>14049</v>
      </c>
    </row>
    <row r="1122" spans="1:56" ht="39" customHeight="1" x14ac:dyDescent="0.25">
      <c r="A1122" s="7" t="s">
        <v>58</v>
      </c>
      <c r="B1122" s="2" t="s">
        <v>14050</v>
      </c>
      <c r="C1122" s="2" t="s">
        <v>14051</v>
      </c>
      <c r="D1122" s="2" t="s">
        <v>14052</v>
      </c>
      <c r="F1122" s="3" t="s">
        <v>58</v>
      </c>
      <c r="G1122" s="3" t="s">
        <v>59</v>
      </c>
      <c r="H1122" s="3" t="s">
        <v>58</v>
      </c>
      <c r="I1122" s="3" t="s">
        <v>58</v>
      </c>
      <c r="J1122" s="3" t="s">
        <v>60</v>
      </c>
      <c r="K1122" s="2" t="s">
        <v>14053</v>
      </c>
      <c r="L1122" s="2" t="s">
        <v>9104</v>
      </c>
      <c r="M1122" s="3" t="s">
        <v>289</v>
      </c>
      <c r="O1122" s="3" t="s">
        <v>65</v>
      </c>
      <c r="P1122" s="3" t="s">
        <v>186</v>
      </c>
      <c r="R1122" s="3" t="s">
        <v>68</v>
      </c>
      <c r="S1122" s="4">
        <v>2</v>
      </c>
      <c r="T1122" s="4">
        <v>2</v>
      </c>
      <c r="U1122" s="5" t="s">
        <v>14054</v>
      </c>
      <c r="V1122" s="5" t="s">
        <v>14054</v>
      </c>
      <c r="W1122" s="5" t="s">
        <v>1084</v>
      </c>
      <c r="X1122" s="5" t="s">
        <v>1084</v>
      </c>
      <c r="Y1122" s="4">
        <v>390</v>
      </c>
      <c r="Z1122" s="4">
        <v>316</v>
      </c>
      <c r="AA1122" s="4">
        <v>329</v>
      </c>
      <c r="AB1122" s="4">
        <v>3</v>
      </c>
      <c r="AC1122" s="4">
        <v>3</v>
      </c>
      <c r="AD1122" s="4">
        <v>33</v>
      </c>
      <c r="AE1122" s="4">
        <v>34</v>
      </c>
      <c r="AF1122" s="4">
        <v>11</v>
      </c>
      <c r="AG1122" s="4">
        <v>12</v>
      </c>
      <c r="AH1122" s="4">
        <v>9</v>
      </c>
      <c r="AI1122" s="4">
        <v>9</v>
      </c>
      <c r="AJ1122" s="4">
        <v>24</v>
      </c>
      <c r="AK1122" s="4">
        <v>25</v>
      </c>
      <c r="AL1122" s="4">
        <v>1</v>
      </c>
      <c r="AM1122" s="4">
        <v>1</v>
      </c>
      <c r="AN1122" s="4">
        <v>0</v>
      </c>
      <c r="AO1122" s="4">
        <v>0</v>
      </c>
      <c r="AP1122" s="3" t="s">
        <v>58</v>
      </c>
      <c r="AQ1122" s="3" t="s">
        <v>58</v>
      </c>
      <c r="AS1122" s="6" t="str">
        <f>HYPERLINK("https://creighton-primo.hosted.exlibrisgroup.com/primo-explore/search?tab=default_tab&amp;search_scope=EVERYTHING&amp;vid=01CRU&amp;lang=en_US&amp;offset=0&amp;query=any,contains,991004529519702656","Catalog Record")</f>
        <v>Catalog Record</v>
      </c>
      <c r="AT1122" s="6" t="str">
        <f>HYPERLINK("http://www.worldcat.org/oclc/8108538","WorldCat Record")</f>
        <v>WorldCat Record</v>
      </c>
      <c r="AU1122" s="3" t="s">
        <v>14055</v>
      </c>
      <c r="AV1122" s="3" t="s">
        <v>14056</v>
      </c>
      <c r="AW1122" s="3" t="s">
        <v>14057</v>
      </c>
      <c r="AX1122" s="3" t="s">
        <v>14057</v>
      </c>
      <c r="AY1122" s="3" t="s">
        <v>14058</v>
      </c>
      <c r="AZ1122" s="3" t="s">
        <v>75</v>
      </c>
      <c r="BB1122" s="3" t="s">
        <v>14059</v>
      </c>
      <c r="BC1122" s="3" t="s">
        <v>14060</v>
      </c>
      <c r="BD1122" s="3" t="s">
        <v>14061</v>
      </c>
    </row>
    <row r="1123" spans="1:56" ht="39" customHeight="1" x14ac:dyDescent="0.25">
      <c r="A1123" s="7" t="s">
        <v>58</v>
      </c>
      <c r="B1123" s="2" t="s">
        <v>14062</v>
      </c>
      <c r="C1123" s="2" t="s">
        <v>14063</v>
      </c>
      <c r="D1123" s="2" t="s">
        <v>14064</v>
      </c>
      <c r="F1123" s="3" t="s">
        <v>58</v>
      </c>
      <c r="G1123" s="3" t="s">
        <v>59</v>
      </c>
      <c r="H1123" s="3" t="s">
        <v>58</v>
      </c>
      <c r="I1123" s="3" t="s">
        <v>58</v>
      </c>
      <c r="J1123" s="3" t="s">
        <v>60</v>
      </c>
      <c r="K1123" s="2" t="s">
        <v>14065</v>
      </c>
      <c r="L1123" s="2" t="s">
        <v>14066</v>
      </c>
      <c r="M1123" s="3" t="s">
        <v>1621</v>
      </c>
      <c r="O1123" s="3" t="s">
        <v>65</v>
      </c>
      <c r="P1123" s="3" t="s">
        <v>1246</v>
      </c>
      <c r="R1123" s="3" t="s">
        <v>68</v>
      </c>
      <c r="S1123" s="4">
        <v>2</v>
      </c>
      <c r="T1123" s="4">
        <v>2</v>
      </c>
      <c r="U1123" s="5" t="s">
        <v>14067</v>
      </c>
      <c r="V1123" s="5" t="s">
        <v>14067</v>
      </c>
      <c r="W1123" s="5" t="s">
        <v>13991</v>
      </c>
      <c r="X1123" s="5" t="s">
        <v>13991</v>
      </c>
      <c r="Y1123" s="4">
        <v>667</v>
      </c>
      <c r="Z1123" s="4">
        <v>567</v>
      </c>
      <c r="AA1123" s="4">
        <v>591</v>
      </c>
      <c r="AB1123" s="4">
        <v>5</v>
      </c>
      <c r="AC1123" s="4">
        <v>5</v>
      </c>
      <c r="AD1123" s="4">
        <v>29</v>
      </c>
      <c r="AE1123" s="4">
        <v>32</v>
      </c>
      <c r="AF1123" s="4">
        <v>10</v>
      </c>
      <c r="AG1123" s="4">
        <v>11</v>
      </c>
      <c r="AH1123" s="4">
        <v>9</v>
      </c>
      <c r="AI1123" s="4">
        <v>10</v>
      </c>
      <c r="AJ1123" s="4">
        <v>15</v>
      </c>
      <c r="AK1123" s="4">
        <v>17</v>
      </c>
      <c r="AL1123" s="4">
        <v>4</v>
      </c>
      <c r="AM1123" s="4">
        <v>4</v>
      </c>
      <c r="AN1123" s="4">
        <v>0</v>
      </c>
      <c r="AO1123" s="4">
        <v>0</v>
      </c>
      <c r="AP1123" s="3" t="s">
        <v>58</v>
      </c>
      <c r="AQ1123" s="3" t="s">
        <v>132</v>
      </c>
      <c r="AR1123" s="6" t="str">
        <f>HYPERLINK("http://catalog.hathitrust.org/Record/001413520","HathiTrust Record")</f>
        <v>HathiTrust Record</v>
      </c>
      <c r="AS1123" s="6" t="str">
        <f>HYPERLINK("https://creighton-primo.hosted.exlibrisgroup.com/primo-explore/search?tab=default_tab&amp;search_scope=EVERYTHING&amp;vid=01CRU&amp;lang=en_US&amp;offset=0&amp;query=any,contains,991003529849702656","Catalog Record")</f>
        <v>Catalog Record</v>
      </c>
      <c r="AT1123" s="6" t="str">
        <f>HYPERLINK("http://www.worldcat.org/oclc/1093255","WorldCat Record")</f>
        <v>WorldCat Record</v>
      </c>
      <c r="AU1123" s="3" t="s">
        <v>14068</v>
      </c>
      <c r="AV1123" s="3" t="s">
        <v>14069</v>
      </c>
      <c r="AW1123" s="3" t="s">
        <v>14070</v>
      </c>
      <c r="AX1123" s="3" t="s">
        <v>14070</v>
      </c>
      <c r="AY1123" s="3" t="s">
        <v>14071</v>
      </c>
      <c r="AZ1123" s="3" t="s">
        <v>75</v>
      </c>
      <c r="BB1123" s="3" t="s">
        <v>14072</v>
      </c>
      <c r="BC1123" s="3" t="s">
        <v>14073</v>
      </c>
      <c r="BD1123" s="3" t="s">
        <v>14074</v>
      </c>
    </row>
    <row r="1124" spans="1:56" ht="39" customHeight="1" x14ac:dyDescent="0.25">
      <c r="A1124" s="7" t="s">
        <v>58</v>
      </c>
      <c r="B1124" s="2" t="s">
        <v>14075</v>
      </c>
      <c r="C1124" s="2" t="s">
        <v>14076</v>
      </c>
      <c r="D1124" s="2" t="s">
        <v>14077</v>
      </c>
      <c r="F1124" s="3" t="s">
        <v>58</v>
      </c>
      <c r="G1124" s="3" t="s">
        <v>59</v>
      </c>
      <c r="H1124" s="3" t="s">
        <v>58</v>
      </c>
      <c r="I1124" s="3" t="s">
        <v>58</v>
      </c>
      <c r="J1124" s="3" t="s">
        <v>60</v>
      </c>
      <c r="K1124" s="2" t="s">
        <v>14078</v>
      </c>
      <c r="L1124" s="2" t="s">
        <v>14079</v>
      </c>
      <c r="M1124" s="3" t="s">
        <v>303</v>
      </c>
      <c r="O1124" s="3" t="s">
        <v>65</v>
      </c>
      <c r="P1124" s="3" t="s">
        <v>571</v>
      </c>
      <c r="R1124" s="3" t="s">
        <v>68</v>
      </c>
      <c r="S1124" s="4">
        <v>3</v>
      </c>
      <c r="T1124" s="4">
        <v>3</v>
      </c>
      <c r="U1124" s="5" t="s">
        <v>7954</v>
      </c>
      <c r="V1124" s="5" t="s">
        <v>7954</v>
      </c>
      <c r="W1124" s="5" t="s">
        <v>13991</v>
      </c>
      <c r="X1124" s="5" t="s">
        <v>13991</v>
      </c>
      <c r="Y1124" s="4">
        <v>156</v>
      </c>
      <c r="Z1124" s="4">
        <v>121</v>
      </c>
      <c r="AA1124" s="4">
        <v>126</v>
      </c>
      <c r="AB1124" s="4">
        <v>2</v>
      </c>
      <c r="AC1124" s="4">
        <v>2</v>
      </c>
      <c r="AD1124" s="4">
        <v>12</v>
      </c>
      <c r="AE1124" s="4">
        <v>12</v>
      </c>
      <c r="AF1124" s="4">
        <v>2</v>
      </c>
      <c r="AG1124" s="4">
        <v>2</v>
      </c>
      <c r="AH1124" s="4">
        <v>3</v>
      </c>
      <c r="AI1124" s="4">
        <v>3</v>
      </c>
      <c r="AJ1124" s="4">
        <v>8</v>
      </c>
      <c r="AK1124" s="4">
        <v>8</v>
      </c>
      <c r="AL1124" s="4">
        <v>0</v>
      </c>
      <c r="AM1124" s="4">
        <v>0</v>
      </c>
      <c r="AN1124" s="4">
        <v>0</v>
      </c>
      <c r="AO1124" s="4">
        <v>0</v>
      </c>
      <c r="AP1124" s="3" t="s">
        <v>58</v>
      </c>
      <c r="AQ1124" s="3" t="s">
        <v>58</v>
      </c>
      <c r="AS1124" s="6" t="str">
        <f>HYPERLINK("https://creighton-primo.hosted.exlibrisgroup.com/primo-explore/search?tab=default_tab&amp;search_scope=EVERYTHING&amp;vid=01CRU&amp;lang=en_US&amp;offset=0&amp;query=any,contains,991004240659702656","Catalog Record")</f>
        <v>Catalog Record</v>
      </c>
      <c r="AT1124" s="6" t="str">
        <f>HYPERLINK("http://www.worldcat.org/oclc/2783193","WorldCat Record")</f>
        <v>WorldCat Record</v>
      </c>
      <c r="AU1124" s="3" t="s">
        <v>14080</v>
      </c>
      <c r="AV1124" s="3" t="s">
        <v>14081</v>
      </c>
      <c r="AW1124" s="3" t="s">
        <v>14082</v>
      </c>
      <c r="AX1124" s="3" t="s">
        <v>14082</v>
      </c>
      <c r="AY1124" s="3" t="s">
        <v>14083</v>
      </c>
      <c r="AZ1124" s="3" t="s">
        <v>75</v>
      </c>
      <c r="BB1124" s="3" t="s">
        <v>14084</v>
      </c>
      <c r="BC1124" s="3" t="s">
        <v>14085</v>
      </c>
      <c r="BD1124" s="3" t="s">
        <v>14086</v>
      </c>
    </row>
    <row r="1125" spans="1:56" ht="39" customHeight="1" x14ac:dyDescent="0.25">
      <c r="A1125" s="7" t="s">
        <v>58</v>
      </c>
      <c r="B1125" s="2" t="s">
        <v>14087</v>
      </c>
      <c r="C1125" s="2" t="s">
        <v>14088</v>
      </c>
      <c r="D1125" s="2" t="s">
        <v>14089</v>
      </c>
      <c r="F1125" s="3" t="s">
        <v>58</v>
      </c>
      <c r="G1125" s="3" t="s">
        <v>59</v>
      </c>
      <c r="H1125" s="3" t="s">
        <v>58</v>
      </c>
      <c r="I1125" s="3" t="s">
        <v>58</v>
      </c>
      <c r="J1125" s="3" t="s">
        <v>60</v>
      </c>
      <c r="K1125" s="2" t="s">
        <v>14090</v>
      </c>
      <c r="L1125" s="2" t="s">
        <v>2302</v>
      </c>
      <c r="M1125" s="3" t="s">
        <v>361</v>
      </c>
      <c r="O1125" s="3" t="s">
        <v>65</v>
      </c>
      <c r="P1125" s="3" t="s">
        <v>2303</v>
      </c>
      <c r="Q1125" s="2" t="s">
        <v>14091</v>
      </c>
      <c r="R1125" s="3" t="s">
        <v>68</v>
      </c>
      <c r="S1125" s="4">
        <v>7</v>
      </c>
      <c r="T1125" s="4">
        <v>7</v>
      </c>
      <c r="U1125" s="5" t="s">
        <v>12427</v>
      </c>
      <c r="V1125" s="5" t="s">
        <v>12427</v>
      </c>
      <c r="W1125" s="5" t="s">
        <v>13991</v>
      </c>
      <c r="X1125" s="5" t="s">
        <v>13991</v>
      </c>
      <c r="Y1125" s="4">
        <v>226</v>
      </c>
      <c r="Z1125" s="4">
        <v>175</v>
      </c>
      <c r="AA1125" s="4">
        <v>185</v>
      </c>
      <c r="AB1125" s="4">
        <v>1</v>
      </c>
      <c r="AC1125" s="4">
        <v>1</v>
      </c>
      <c r="AD1125" s="4">
        <v>27</v>
      </c>
      <c r="AE1125" s="4">
        <v>28</v>
      </c>
      <c r="AF1125" s="4">
        <v>10</v>
      </c>
      <c r="AG1125" s="4">
        <v>10</v>
      </c>
      <c r="AH1125" s="4">
        <v>6</v>
      </c>
      <c r="AI1125" s="4">
        <v>7</v>
      </c>
      <c r="AJ1125" s="4">
        <v>22</v>
      </c>
      <c r="AK1125" s="4">
        <v>22</v>
      </c>
      <c r="AL1125" s="4">
        <v>0</v>
      </c>
      <c r="AM1125" s="4">
        <v>0</v>
      </c>
      <c r="AN1125" s="4">
        <v>0</v>
      </c>
      <c r="AO1125" s="4">
        <v>0</v>
      </c>
      <c r="AP1125" s="3" t="s">
        <v>58</v>
      </c>
      <c r="AQ1125" s="3" t="s">
        <v>58</v>
      </c>
      <c r="AS1125" s="6" t="str">
        <f>HYPERLINK("https://creighton-primo.hosted.exlibrisgroup.com/primo-explore/search?tab=default_tab&amp;search_scope=EVERYTHING&amp;vid=01CRU&amp;lang=en_US&amp;offset=0&amp;query=any,contains,991000255999702656","Catalog Record")</f>
        <v>Catalog Record</v>
      </c>
      <c r="AT1125" s="6" t="str">
        <f>HYPERLINK("http://www.worldcat.org/oclc/9771339","WorldCat Record")</f>
        <v>WorldCat Record</v>
      </c>
      <c r="AU1125" s="3" t="s">
        <v>14092</v>
      </c>
      <c r="AV1125" s="3" t="s">
        <v>14093</v>
      </c>
      <c r="AW1125" s="3" t="s">
        <v>14094</v>
      </c>
      <c r="AX1125" s="3" t="s">
        <v>14094</v>
      </c>
      <c r="AY1125" s="3" t="s">
        <v>14095</v>
      </c>
      <c r="AZ1125" s="3" t="s">
        <v>75</v>
      </c>
      <c r="BB1125" s="3" t="s">
        <v>14096</v>
      </c>
      <c r="BC1125" s="3" t="s">
        <v>14097</v>
      </c>
      <c r="BD1125" s="3" t="s">
        <v>14098</v>
      </c>
    </row>
    <row r="1126" spans="1:56" ht="39" customHeight="1" x14ac:dyDescent="0.25">
      <c r="A1126" s="7" t="s">
        <v>58</v>
      </c>
      <c r="B1126" s="2" t="s">
        <v>14099</v>
      </c>
      <c r="C1126" s="2" t="s">
        <v>14100</v>
      </c>
      <c r="D1126" s="2" t="s">
        <v>14101</v>
      </c>
      <c r="F1126" s="3" t="s">
        <v>58</v>
      </c>
      <c r="G1126" s="3" t="s">
        <v>59</v>
      </c>
      <c r="H1126" s="3" t="s">
        <v>58</v>
      </c>
      <c r="I1126" s="3" t="s">
        <v>58</v>
      </c>
      <c r="J1126" s="3" t="s">
        <v>60</v>
      </c>
      <c r="K1126" s="2" t="s">
        <v>14102</v>
      </c>
      <c r="L1126" s="2" t="s">
        <v>14103</v>
      </c>
      <c r="M1126" s="3" t="s">
        <v>670</v>
      </c>
      <c r="O1126" s="3" t="s">
        <v>65</v>
      </c>
      <c r="P1126" s="3" t="s">
        <v>695</v>
      </c>
      <c r="Q1126" s="2" t="s">
        <v>14104</v>
      </c>
      <c r="R1126" s="3" t="s">
        <v>68</v>
      </c>
      <c r="S1126" s="4">
        <v>5</v>
      </c>
      <c r="T1126" s="4">
        <v>5</v>
      </c>
      <c r="U1126" s="5" t="s">
        <v>7954</v>
      </c>
      <c r="V1126" s="5" t="s">
        <v>7954</v>
      </c>
      <c r="W1126" s="5" t="s">
        <v>13991</v>
      </c>
      <c r="X1126" s="5" t="s">
        <v>13991</v>
      </c>
      <c r="Y1126" s="4">
        <v>451</v>
      </c>
      <c r="Z1126" s="4">
        <v>398</v>
      </c>
      <c r="AA1126" s="4">
        <v>412</v>
      </c>
      <c r="AB1126" s="4">
        <v>6</v>
      </c>
      <c r="AC1126" s="4">
        <v>6</v>
      </c>
      <c r="AD1126" s="4">
        <v>26</v>
      </c>
      <c r="AE1126" s="4">
        <v>27</v>
      </c>
      <c r="AF1126" s="4">
        <v>10</v>
      </c>
      <c r="AG1126" s="4">
        <v>11</v>
      </c>
      <c r="AH1126" s="4">
        <v>3</v>
      </c>
      <c r="AI1126" s="4">
        <v>3</v>
      </c>
      <c r="AJ1126" s="4">
        <v>12</v>
      </c>
      <c r="AK1126" s="4">
        <v>12</v>
      </c>
      <c r="AL1126" s="4">
        <v>5</v>
      </c>
      <c r="AM1126" s="4">
        <v>5</v>
      </c>
      <c r="AN1126" s="4">
        <v>0</v>
      </c>
      <c r="AO1126" s="4">
        <v>0</v>
      </c>
      <c r="AP1126" s="3" t="s">
        <v>58</v>
      </c>
      <c r="AQ1126" s="3" t="s">
        <v>58</v>
      </c>
      <c r="AS1126" s="6" t="str">
        <f>HYPERLINK("https://creighton-primo.hosted.exlibrisgroup.com/primo-explore/search?tab=default_tab&amp;search_scope=EVERYTHING&amp;vid=01CRU&amp;lang=en_US&amp;offset=0&amp;query=any,contains,991000700209702656","Catalog Record")</f>
        <v>Catalog Record</v>
      </c>
      <c r="AT1126" s="6" t="str">
        <f>HYPERLINK("http://www.worldcat.org/oclc/124212","WorldCat Record")</f>
        <v>WorldCat Record</v>
      </c>
      <c r="AU1126" s="3" t="s">
        <v>14105</v>
      </c>
      <c r="AV1126" s="3" t="s">
        <v>14106</v>
      </c>
      <c r="AW1126" s="3" t="s">
        <v>14107</v>
      </c>
      <c r="AX1126" s="3" t="s">
        <v>14107</v>
      </c>
      <c r="AY1126" s="3" t="s">
        <v>14108</v>
      </c>
      <c r="AZ1126" s="3" t="s">
        <v>75</v>
      </c>
      <c r="BB1126" s="3" t="s">
        <v>14109</v>
      </c>
      <c r="BC1126" s="3" t="s">
        <v>14110</v>
      </c>
      <c r="BD1126" s="3" t="s">
        <v>14111</v>
      </c>
    </row>
    <row r="1127" spans="1:56" ht="39" customHeight="1" x14ac:dyDescent="0.25">
      <c r="A1127" s="7" t="s">
        <v>58</v>
      </c>
      <c r="B1127" s="2" t="s">
        <v>14112</v>
      </c>
      <c r="C1127" s="2" t="s">
        <v>14113</v>
      </c>
      <c r="D1127" s="2" t="s">
        <v>14114</v>
      </c>
      <c r="E1127" s="3" t="s">
        <v>1928</v>
      </c>
      <c r="F1127" s="3" t="s">
        <v>132</v>
      </c>
      <c r="G1127" s="3" t="s">
        <v>59</v>
      </c>
      <c r="H1127" s="3" t="s">
        <v>58</v>
      </c>
      <c r="I1127" s="3" t="s">
        <v>58</v>
      </c>
      <c r="J1127" s="3" t="s">
        <v>60</v>
      </c>
      <c r="K1127" s="2" t="s">
        <v>14115</v>
      </c>
      <c r="L1127" s="2" t="s">
        <v>14116</v>
      </c>
      <c r="M1127" s="3" t="s">
        <v>112</v>
      </c>
      <c r="O1127" s="3" t="s">
        <v>14117</v>
      </c>
      <c r="P1127" s="3" t="s">
        <v>129</v>
      </c>
      <c r="R1127" s="3" t="s">
        <v>68</v>
      </c>
      <c r="S1127" s="4">
        <v>0</v>
      </c>
      <c r="T1127" s="4">
        <v>1</v>
      </c>
      <c r="V1127" s="5" t="s">
        <v>14118</v>
      </c>
      <c r="W1127" s="5" t="s">
        <v>14119</v>
      </c>
      <c r="X1127" s="5" t="s">
        <v>14119</v>
      </c>
      <c r="Y1127" s="4">
        <v>74</v>
      </c>
      <c r="Z1127" s="4">
        <v>57</v>
      </c>
      <c r="AA1127" s="4">
        <v>57</v>
      </c>
      <c r="AB1127" s="4">
        <v>1</v>
      </c>
      <c r="AC1127" s="4">
        <v>1</v>
      </c>
      <c r="AD1127" s="4">
        <v>10</v>
      </c>
      <c r="AE1127" s="4">
        <v>10</v>
      </c>
      <c r="AF1127" s="4">
        <v>2</v>
      </c>
      <c r="AG1127" s="4">
        <v>2</v>
      </c>
      <c r="AH1127" s="4">
        <v>2</v>
      </c>
      <c r="AI1127" s="4">
        <v>2</v>
      </c>
      <c r="AJ1127" s="4">
        <v>8</v>
      </c>
      <c r="AK1127" s="4">
        <v>8</v>
      </c>
      <c r="AL1127" s="4">
        <v>0</v>
      </c>
      <c r="AM1127" s="4">
        <v>0</v>
      </c>
      <c r="AN1127" s="4">
        <v>0</v>
      </c>
      <c r="AO1127" s="4">
        <v>0</v>
      </c>
      <c r="AP1127" s="3" t="s">
        <v>58</v>
      </c>
      <c r="AQ1127" s="3" t="s">
        <v>58</v>
      </c>
      <c r="AS1127" s="6" t="str">
        <f>HYPERLINK("https://creighton-primo.hosted.exlibrisgroup.com/primo-explore/search?tab=default_tab&amp;search_scope=EVERYTHING&amp;vid=01CRU&amp;lang=en_US&amp;offset=0&amp;query=any,contains,991002133369702656","Catalog Record")</f>
        <v>Catalog Record</v>
      </c>
      <c r="AT1127" s="6" t="str">
        <f>HYPERLINK("http://www.worldcat.org/oclc/27342197","WorldCat Record")</f>
        <v>WorldCat Record</v>
      </c>
      <c r="AU1127" s="3" t="s">
        <v>14120</v>
      </c>
      <c r="AV1127" s="3" t="s">
        <v>14121</v>
      </c>
      <c r="AW1127" s="3" t="s">
        <v>14122</v>
      </c>
      <c r="AX1127" s="3" t="s">
        <v>14122</v>
      </c>
      <c r="AY1127" s="3" t="s">
        <v>14123</v>
      </c>
      <c r="AZ1127" s="3" t="s">
        <v>75</v>
      </c>
      <c r="BB1127" s="3" t="s">
        <v>14124</v>
      </c>
      <c r="BC1127" s="3" t="s">
        <v>14125</v>
      </c>
      <c r="BD1127" s="3" t="s">
        <v>14126</v>
      </c>
    </row>
    <row r="1128" spans="1:56" ht="39" customHeight="1" x14ac:dyDescent="0.25">
      <c r="A1128" s="7" t="s">
        <v>58</v>
      </c>
      <c r="B1128" s="2" t="s">
        <v>14112</v>
      </c>
      <c r="C1128" s="2" t="s">
        <v>14113</v>
      </c>
      <c r="D1128" s="2" t="s">
        <v>14114</v>
      </c>
      <c r="E1128" s="3" t="s">
        <v>1902</v>
      </c>
      <c r="F1128" s="3" t="s">
        <v>132</v>
      </c>
      <c r="G1128" s="3" t="s">
        <v>59</v>
      </c>
      <c r="H1128" s="3" t="s">
        <v>58</v>
      </c>
      <c r="I1128" s="3" t="s">
        <v>58</v>
      </c>
      <c r="J1128" s="3" t="s">
        <v>60</v>
      </c>
      <c r="K1128" s="2" t="s">
        <v>14115</v>
      </c>
      <c r="L1128" s="2" t="s">
        <v>14116</v>
      </c>
      <c r="M1128" s="3" t="s">
        <v>112</v>
      </c>
      <c r="O1128" s="3" t="s">
        <v>14117</v>
      </c>
      <c r="P1128" s="3" t="s">
        <v>129</v>
      </c>
      <c r="R1128" s="3" t="s">
        <v>68</v>
      </c>
      <c r="S1128" s="4">
        <v>0</v>
      </c>
      <c r="T1128" s="4">
        <v>1</v>
      </c>
      <c r="V1128" s="5" t="s">
        <v>14118</v>
      </c>
      <c r="W1128" s="5" t="s">
        <v>14119</v>
      </c>
      <c r="X1128" s="5" t="s">
        <v>14119</v>
      </c>
      <c r="Y1128" s="4">
        <v>74</v>
      </c>
      <c r="Z1128" s="4">
        <v>57</v>
      </c>
      <c r="AA1128" s="4">
        <v>57</v>
      </c>
      <c r="AB1128" s="4">
        <v>1</v>
      </c>
      <c r="AC1128" s="4">
        <v>1</v>
      </c>
      <c r="AD1128" s="4">
        <v>10</v>
      </c>
      <c r="AE1128" s="4">
        <v>10</v>
      </c>
      <c r="AF1128" s="4">
        <v>2</v>
      </c>
      <c r="AG1128" s="4">
        <v>2</v>
      </c>
      <c r="AH1128" s="4">
        <v>2</v>
      </c>
      <c r="AI1128" s="4">
        <v>2</v>
      </c>
      <c r="AJ1128" s="4">
        <v>8</v>
      </c>
      <c r="AK1128" s="4">
        <v>8</v>
      </c>
      <c r="AL1128" s="4">
        <v>0</v>
      </c>
      <c r="AM1128" s="4">
        <v>0</v>
      </c>
      <c r="AN1128" s="4">
        <v>0</v>
      </c>
      <c r="AO1128" s="4">
        <v>0</v>
      </c>
      <c r="AP1128" s="3" t="s">
        <v>58</v>
      </c>
      <c r="AQ1128" s="3" t="s">
        <v>58</v>
      </c>
      <c r="AS1128" s="6" t="str">
        <f>HYPERLINK("https://creighton-primo.hosted.exlibrisgroup.com/primo-explore/search?tab=default_tab&amp;search_scope=EVERYTHING&amp;vid=01CRU&amp;lang=en_US&amp;offset=0&amp;query=any,contains,991002133369702656","Catalog Record")</f>
        <v>Catalog Record</v>
      </c>
      <c r="AT1128" s="6" t="str">
        <f>HYPERLINK("http://www.worldcat.org/oclc/27342197","WorldCat Record")</f>
        <v>WorldCat Record</v>
      </c>
      <c r="AU1128" s="3" t="s">
        <v>14120</v>
      </c>
      <c r="AV1128" s="3" t="s">
        <v>14121</v>
      </c>
      <c r="AW1128" s="3" t="s">
        <v>14122</v>
      </c>
      <c r="AX1128" s="3" t="s">
        <v>14122</v>
      </c>
      <c r="AY1128" s="3" t="s">
        <v>14123</v>
      </c>
      <c r="AZ1128" s="3" t="s">
        <v>75</v>
      </c>
      <c r="BB1128" s="3" t="s">
        <v>14124</v>
      </c>
      <c r="BC1128" s="3" t="s">
        <v>14127</v>
      </c>
      <c r="BD1128" s="3" t="s">
        <v>14128</v>
      </c>
    </row>
    <row r="1129" spans="1:56" ht="39" customHeight="1" x14ac:dyDescent="0.25">
      <c r="A1129" s="7" t="s">
        <v>58</v>
      </c>
      <c r="B1129" s="2" t="s">
        <v>14112</v>
      </c>
      <c r="C1129" s="2" t="s">
        <v>14113</v>
      </c>
      <c r="D1129" s="2" t="s">
        <v>14114</v>
      </c>
      <c r="E1129" s="3" t="s">
        <v>1925</v>
      </c>
      <c r="F1129" s="3" t="s">
        <v>132</v>
      </c>
      <c r="G1129" s="3" t="s">
        <v>59</v>
      </c>
      <c r="H1129" s="3" t="s">
        <v>58</v>
      </c>
      <c r="I1129" s="3" t="s">
        <v>58</v>
      </c>
      <c r="J1129" s="3" t="s">
        <v>60</v>
      </c>
      <c r="K1129" s="2" t="s">
        <v>14115</v>
      </c>
      <c r="L1129" s="2" t="s">
        <v>14116</v>
      </c>
      <c r="M1129" s="3" t="s">
        <v>112</v>
      </c>
      <c r="O1129" s="3" t="s">
        <v>14117</v>
      </c>
      <c r="P1129" s="3" t="s">
        <v>129</v>
      </c>
      <c r="R1129" s="3" t="s">
        <v>68</v>
      </c>
      <c r="S1129" s="4">
        <v>0</v>
      </c>
      <c r="T1129" s="4">
        <v>1</v>
      </c>
      <c r="V1129" s="5" t="s">
        <v>14118</v>
      </c>
      <c r="W1129" s="5" t="s">
        <v>14119</v>
      </c>
      <c r="X1129" s="5" t="s">
        <v>14119</v>
      </c>
      <c r="Y1129" s="4">
        <v>74</v>
      </c>
      <c r="Z1129" s="4">
        <v>57</v>
      </c>
      <c r="AA1129" s="4">
        <v>57</v>
      </c>
      <c r="AB1129" s="4">
        <v>1</v>
      </c>
      <c r="AC1129" s="4">
        <v>1</v>
      </c>
      <c r="AD1129" s="4">
        <v>10</v>
      </c>
      <c r="AE1129" s="4">
        <v>10</v>
      </c>
      <c r="AF1129" s="4">
        <v>2</v>
      </c>
      <c r="AG1129" s="4">
        <v>2</v>
      </c>
      <c r="AH1129" s="4">
        <v>2</v>
      </c>
      <c r="AI1129" s="4">
        <v>2</v>
      </c>
      <c r="AJ1129" s="4">
        <v>8</v>
      </c>
      <c r="AK1129" s="4">
        <v>8</v>
      </c>
      <c r="AL1129" s="4">
        <v>0</v>
      </c>
      <c r="AM1129" s="4">
        <v>0</v>
      </c>
      <c r="AN1129" s="4">
        <v>0</v>
      </c>
      <c r="AO1129" s="4">
        <v>0</v>
      </c>
      <c r="AP1129" s="3" t="s">
        <v>58</v>
      </c>
      <c r="AQ1129" s="3" t="s">
        <v>58</v>
      </c>
      <c r="AS1129" s="6" t="str">
        <f>HYPERLINK("https://creighton-primo.hosted.exlibrisgroup.com/primo-explore/search?tab=default_tab&amp;search_scope=EVERYTHING&amp;vid=01CRU&amp;lang=en_US&amp;offset=0&amp;query=any,contains,991002133369702656","Catalog Record")</f>
        <v>Catalog Record</v>
      </c>
      <c r="AT1129" s="6" t="str">
        <f>HYPERLINK("http://www.worldcat.org/oclc/27342197","WorldCat Record")</f>
        <v>WorldCat Record</v>
      </c>
      <c r="AU1129" s="3" t="s">
        <v>14120</v>
      </c>
      <c r="AV1129" s="3" t="s">
        <v>14121</v>
      </c>
      <c r="AW1129" s="3" t="s">
        <v>14122</v>
      </c>
      <c r="AX1129" s="3" t="s">
        <v>14122</v>
      </c>
      <c r="AY1129" s="3" t="s">
        <v>14123</v>
      </c>
      <c r="AZ1129" s="3" t="s">
        <v>75</v>
      </c>
      <c r="BB1129" s="3" t="s">
        <v>14124</v>
      </c>
      <c r="BC1129" s="3" t="s">
        <v>14129</v>
      </c>
      <c r="BD1129" s="3" t="s">
        <v>14130</v>
      </c>
    </row>
    <row r="1130" spans="1:56" ht="39" customHeight="1" x14ac:dyDescent="0.25">
      <c r="A1130" s="7" t="s">
        <v>58</v>
      </c>
      <c r="B1130" s="2" t="s">
        <v>14112</v>
      </c>
      <c r="C1130" s="2" t="s">
        <v>14113</v>
      </c>
      <c r="D1130" s="2" t="s">
        <v>14114</v>
      </c>
      <c r="E1130" s="3" t="s">
        <v>1913</v>
      </c>
      <c r="F1130" s="3" t="s">
        <v>132</v>
      </c>
      <c r="G1130" s="3" t="s">
        <v>59</v>
      </c>
      <c r="H1130" s="3" t="s">
        <v>58</v>
      </c>
      <c r="I1130" s="3" t="s">
        <v>58</v>
      </c>
      <c r="J1130" s="3" t="s">
        <v>60</v>
      </c>
      <c r="K1130" s="2" t="s">
        <v>14115</v>
      </c>
      <c r="L1130" s="2" t="s">
        <v>14116</v>
      </c>
      <c r="M1130" s="3" t="s">
        <v>112</v>
      </c>
      <c r="O1130" s="3" t="s">
        <v>14117</v>
      </c>
      <c r="P1130" s="3" t="s">
        <v>129</v>
      </c>
      <c r="R1130" s="3" t="s">
        <v>68</v>
      </c>
      <c r="S1130" s="4">
        <v>1</v>
      </c>
      <c r="T1130" s="4">
        <v>1</v>
      </c>
      <c r="U1130" s="5" t="s">
        <v>14118</v>
      </c>
      <c r="V1130" s="5" t="s">
        <v>14118</v>
      </c>
      <c r="W1130" s="5" t="s">
        <v>14119</v>
      </c>
      <c r="X1130" s="5" t="s">
        <v>14119</v>
      </c>
      <c r="Y1130" s="4">
        <v>74</v>
      </c>
      <c r="Z1130" s="4">
        <v>57</v>
      </c>
      <c r="AA1130" s="4">
        <v>57</v>
      </c>
      <c r="AB1130" s="4">
        <v>1</v>
      </c>
      <c r="AC1130" s="4">
        <v>1</v>
      </c>
      <c r="AD1130" s="4">
        <v>10</v>
      </c>
      <c r="AE1130" s="4">
        <v>10</v>
      </c>
      <c r="AF1130" s="4">
        <v>2</v>
      </c>
      <c r="AG1130" s="4">
        <v>2</v>
      </c>
      <c r="AH1130" s="4">
        <v>2</v>
      </c>
      <c r="AI1130" s="4">
        <v>2</v>
      </c>
      <c r="AJ1130" s="4">
        <v>8</v>
      </c>
      <c r="AK1130" s="4">
        <v>8</v>
      </c>
      <c r="AL1130" s="4">
        <v>0</v>
      </c>
      <c r="AM1130" s="4">
        <v>0</v>
      </c>
      <c r="AN1130" s="4">
        <v>0</v>
      </c>
      <c r="AO1130" s="4">
        <v>0</v>
      </c>
      <c r="AP1130" s="3" t="s">
        <v>58</v>
      </c>
      <c r="AQ1130" s="3" t="s">
        <v>58</v>
      </c>
      <c r="AS1130" s="6" t="str">
        <f>HYPERLINK("https://creighton-primo.hosted.exlibrisgroup.com/primo-explore/search?tab=default_tab&amp;search_scope=EVERYTHING&amp;vid=01CRU&amp;lang=en_US&amp;offset=0&amp;query=any,contains,991002133369702656","Catalog Record")</f>
        <v>Catalog Record</v>
      </c>
      <c r="AT1130" s="6" t="str">
        <f>HYPERLINK("http://www.worldcat.org/oclc/27342197","WorldCat Record")</f>
        <v>WorldCat Record</v>
      </c>
      <c r="AU1130" s="3" t="s">
        <v>14120</v>
      </c>
      <c r="AV1130" s="3" t="s">
        <v>14121</v>
      </c>
      <c r="AW1130" s="3" t="s">
        <v>14122</v>
      </c>
      <c r="AX1130" s="3" t="s">
        <v>14122</v>
      </c>
      <c r="AY1130" s="3" t="s">
        <v>14123</v>
      </c>
      <c r="AZ1130" s="3" t="s">
        <v>75</v>
      </c>
      <c r="BB1130" s="3" t="s">
        <v>14124</v>
      </c>
      <c r="BC1130" s="3" t="s">
        <v>14131</v>
      </c>
      <c r="BD1130" s="3" t="s">
        <v>14132</v>
      </c>
    </row>
    <row r="1131" spans="1:56" ht="39" customHeight="1" x14ac:dyDescent="0.25">
      <c r="A1131" s="7" t="s">
        <v>58</v>
      </c>
      <c r="B1131" s="2" t="s">
        <v>14133</v>
      </c>
      <c r="C1131" s="2" t="s">
        <v>14134</v>
      </c>
      <c r="D1131" s="2" t="s">
        <v>14135</v>
      </c>
      <c r="F1131" s="3" t="s">
        <v>58</v>
      </c>
      <c r="G1131" s="3" t="s">
        <v>59</v>
      </c>
      <c r="H1131" s="3" t="s">
        <v>58</v>
      </c>
      <c r="I1131" s="3" t="s">
        <v>58</v>
      </c>
      <c r="J1131" s="3" t="s">
        <v>60</v>
      </c>
      <c r="K1131" s="2" t="s">
        <v>14136</v>
      </c>
      <c r="L1131" s="2" t="s">
        <v>14137</v>
      </c>
      <c r="M1131" s="3" t="s">
        <v>966</v>
      </c>
      <c r="O1131" s="3" t="s">
        <v>65</v>
      </c>
      <c r="P1131" s="3" t="s">
        <v>66</v>
      </c>
      <c r="Q1131" s="2" t="s">
        <v>14138</v>
      </c>
      <c r="R1131" s="3" t="s">
        <v>68</v>
      </c>
      <c r="S1131" s="4">
        <v>1</v>
      </c>
      <c r="T1131" s="4">
        <v>1</v>
      </c>
      <c r="U1131" s="5" t="s">
        <v>7619</v>
      </c>
      <c r="V1131" s="5" t="s">
        <v>7619</v>
      </c>
      <c r="W1131" s="5" t="s">
        <v>14139</v>
      </c>
      <c r="X1131" s="5" t="s">
        <v>14139</v>
      </c>
      <c r="Y1131" s="4">
        <v>248</v>
      </c>
      <c r="Z1131" s="4">
        <v>188</v>
      </c>
      <c r="AA1131" s="4">
        <v>233</v>
      </c>
      <c r="AB1131" s="4">
        <v>1</v>
      </c>
      <c r="AC1131" s="4">
        <v>1</v>
      </c>
      <c r="AD1131" s="4">
        <v>17</v>
      </c>
      <c r="AE1131" s="4">
        <v>18</v>
      </c>
      <c r="AF1131" s="4">
        <v>6</v>
      </c>
      <c r="AG1131" s="4">
        <v>6</v>
      </c>
      <c r="AH1131" s="4">
        <v>5</v>
      </c>
      <c r="AI1131" s="4">
        <v>6</v>
      </c>
      <c r="AJ1131" s="4">
        <v>11</v>
      </c>
      <c r="AK1131" s="4">
        <v>11</v>
      </c>
      <c r="AL1131" s="4">
        <v>0</v>
      </c>
      <c r="AM1131" s="4">
        <v>0</v>
      </c>
      <c r="AN1131" s="4">
        <v>0</v>
      </c>
      <c r="AO1131" s="4">
        <v>0</v>
      </c>
      <c r="AP1131" s="3" t="s">
        <v>58</v>
      </c>
      <c r="AQ1131" s="3" t="s">
        <v>58</v>
      </c>
      <c r="AS1131" s="6" t="str">
        <f>HYPERLINK("https://creighton-primo.hosted.exlibrisgroup.com/primo-explore/search?tab=default_tab&amp;search_scope=EVERYTHING&amp;vid=01CRU&amp;lang=en_US&amp;offset=0&amp;query=any,contains,991002071369702656","Catalog Record")</f>
        <v>Catalog Record</v>
      </c>
      <c r="AT1131" s="6" t="str">
        <f>HYPERLINK("http://www.worldcat.org/oclc/26545251","WorldCat Record")</f>
        <v>WorldCat Record</v>
      </c>
      <c r="AU1131" s="3" t="s">
        <v>14140</v>
      </c>
      <c r="AV1131" s="3" t="s">
        <v>14141</v>
      </c>
      <c r="AW1131" s="3" t="s">
        <v>14142</v>
      </c>
      <c r="AX1131" s="3" t="s">
        <v>14142</v>
      </c>
      <c r="AY1131" s="3" t="s">
        <v>14143</v>
      </c>
      <c r="AZ1131" s="3" t="s">
        <v>75</v>
      </c>
      <c r="BB1131" s="3" t="s">
        <v>14144</v>
      </c>
      <c r="BC1131" s="3" t="s">
        <v>14145</v>
      </c>
      <c r="BD1131" s="3" t="s">
        <v>14146</v>
      </c>
    </row>
    <row r="1132" spans="1:56" ht="39" customHeight="1" x14ac:dyDescent="0.25">
      <c r="A1132" s="7" t="s">
        <v>58</v>
      </c>
      <c r="B1132" s="2" t="s">
        <v>14147</v>
      </c>
      <c r="C1132" s="2" t="s">
        <v>14148</v>
      </c>
      <c r="D1132" s="2" t="s">
        <v>14149</v>
      </c>
      <c r="F1132" s="3" t="s">
        <v>58</v>
      </c>
      <c r="G1132" s="3" t="s">
        <v>59</v>
      </c>
      <c r="H1132" s="3" t="s">
        <v>58</v>
      </c>
      <c r="I1132" s="3" t="s">
        <v>58</v>
      </c>
      <c r="J1132" s="3" t="s">
        <v>60</v>
      </c>
      <c r="K1132" s="2" t="s">
        <v>14150</v>
      </c>
      <c r="L1132" s="2" t="s">
        <v>14151</v>
      </c>
      <c r="M1132" s="3" t="s">
        <v>682</v>
      </c>
      <c r="O1132" s="3" t="s">
        <v>65</v>
      </c>
      <c r="P1132" s="3" t="s">
        <v>492</v>
      </c>
      <c r="Q1132" s="2" t="s">
        <v>14152</v>
      </c>
      <c r="R1132" s="3" t="s">
        <v>68</v>
      </c>
      <c r="S1132" s="4">
        <v>1</v>
      </c>
      <c r="T1132" s="4">
        <v>1</v>
      </c>
      <c r="U1132" s="5" t="s">
        <v>14067</v>
      </c>
      <c r="V1132" s="5" t="s">
        <v>14067</v>
      </c>
      <c r="W1132" s="5" t="s">
        <v>14153</v>
      </c>
      <c r="X1132" s="5" t="s">
        <v>14153</v>
      </c>
      <c r="Y1132" s="4">
        <v>310</v>
      </c>
      <c r="Z1132" s="4">
        <v>262</v>
      </c>
      <c r="AA1132" s="4">
        <v>277</v>
      </c>
      <c r="AB1132" s="4">
        <v>3</v>
      </c>
      <c r="AC1132" s="4">
        <v>3</v>
      </c>
      <c r="AD1132" s="4">
        <v>34</v>
      </c>
      <c r="AE1132" s="4">
        <v>34</v>
      </c>
      <c r="AF1132" s="4">
        <v>12</v>
      </c>
      <c r="AG1132" s="4">
        <v>12</v>
      </c>
      <c r="AH1132" s="4">
        <v>9</v>
      </c>
      <c r="AI1132" s="4">
        <v>9</v>
      </c>
      <c r="AJ1132" s="4">
        <v>25</v>
      </c>
      <c r="AK1132" s="4">
        <v>25</v>
      </c>
      <c r="AL1132" s="4">
        <v>1</v>
      </c>
      <c r="AM1132" s="4">
        <v>1</v>
      </c>
      <c r="AN1132" s="4">
        <v>0</v>
      </c>
      <c r="AO1132" s="4">
        <v>0</v>
      </c>
      <c r="AP1132" s="3" t="s">
        <v>132</v>
      </c>
      <c r="AQ1132" s="3" t="s">
        <v>58</v>
      </c>
      <c r="AR1132" s="6" t="str">
        <f>HYPERLINK("http://catalog.hathitrust.org/Record/102112986","HathiTrust Record")</f>
        <v>HathiTrust Record</v>
      </c>
      <c r="AS1132" s="6" t="str">
        <f>HYPERLINK("https://creighton-primo.hosted.exlibrisgroup.com/primo-explore/search?tab=default_tab&amp;search_scope=EVERYTHING&amp;vid=01CRU&amp;lang=en_US&amp;offset=0&amp;query=any,contains,991004328399702656","Catalog Record")</f>
        <v>Catalog Record</v>
      </c>
      <c r="AT1132" s="6" t="str">
        <f>HYPERLINK("http://www.worldcat.org/oclc/3051457","WorldCat Record")</f>
        <v>WorldCat Record</v>
      </c>
      <c r="AU1132" s="3" t="s">
        <v>14154</v>
      </c>
      <c r="AV1132" s="3" t="s">
        <v>14155</v>
      </c>
      <c r="AW1132" s="3" t="s">
        <v>14156</v>
      </c>
      <c r="AX1132" s="3" t="s">
        <v>14156</v>
      </c>
      <c r="AY1132" s="3" t="s">
        <v>14157</v>
      </c>
      <c r="AZ1132" s="3" t="s">
        <v>75</v>
      </c>
      <c r="BC1132" s="3" t="s">
        <v>14158</v>
      </c>
      <c r="BD1132" s="3" t="s">
        <v>14159</v>
      </c>
    </row>
    <row r="1133" spans="1:56" ht="39" customHeight="1" x14ac:dyDescent="0.25">
      <c r="A1133" s="7" t="s">
        <v>58</v>
      </c>
      <c r="B1133" s="2" t="s">
        <v>14160</v>
      </c>
      <c r="C1133" s="2" t="s">
        <v>14161</v>
      </c>
      <c r="D1133" s="2" t="s">
        <v>14162</v>
      </c>
      <c r="F1133" s="3" t="s">
        <v>58</v>
      </c>
      <c r="G1133" s="3" t="s">
        <v>59</v>
      </c>
      <c r="H1133" s="3" t="s">
        <v>58</v>
      </c>
      <c r="I1133" s="3" t="s">
        <v>58</v>
      </c>
      <c r="J1133" s="3" t="s">
        <v>60</v>
      </c>
      <c r="K1133" s="2" t="s">
        <v>14163</v>
      </c>
      <c r="L1133" s="2" t="s">
        <v>14164</v>
      </c>
      <c r="M1133" s="3" t="s">
        <v>83</v>
      </c>
      <c r="O1133" s="3" t="s">
        <v>9238</v>
      </c>
      <c r="P1133" s="3" t="s">
        <v>9239</v>
      </c>
      <c r="Q1133" s="2" t="s">
        <v>14165</v>
      </c>
      <c r="R1133" s="3" t="s">
        <v>68</v>
      </c>
      <c r="S1133" s="4">
        <v>1</v>
      </c>
      <c r="T1133" s="4">
        <v>1</v>
      </c>
      <c r="U1133" s="5" t="s">
        <v>7120</v>
      </c>
      <c r="V1133" s="5" t="s">
        <v>7120</v>
      </c>
      <c r="W1133" s="5" t="s">
        <v>13991</v>
      </c>
      <c r="X1133" s="5" t="s">
        <v>13991</v>
      </c>
      <c r="Y1133" s="4">
        <v>94</v>
      </c>
      <c r="Z1133" s="4">
        <v>56</v>
      </c>
      <c r="AA1133" s="4">
        <v>58</v>
      </c>
      <c r="AB1133" s="4">
        <v>1</v>
      </c>
      <c r="AC1133" s="4">
        <v>1</v>
      </c>
      <c r="AD1133" s="4">
        <v>5</v>
      </c>
      <c r="AE1133" s="4">
        <v>5</v>
      </c>
      <c r="AF1133" s="4">
        <v>0</v>
      </c>
      <c r="AG1133" s="4">
        <v>0</v>
      </c>
      <c r="AH1133" s="4">
        <v>1</v>
      </c>
      <c r="AI1133" s="4">
        <v>1</v>
      </c>
      <c r="AJ1133" s="4">
        <v>5</v>
      </c>
      <c r="AK1133" s="4">
        <v>5</v>
      </c>
      <c r="AL1133" s="4">
        <v>0</v>
      </c>
      <c r="AM1133" s="4">
        <v>0</v>
      </c>
      <c r="AN1133" s="4">
        <v>0</v>
      </c>
      <c r="AO1133" s="4">
        <v>0</v>
      </c>
      <c r="AP1133" s="3" t="s">
        <v>58</v>
      </c>
      <c r="AQ1133" s="3" t="s">
        <v>132</v>
      </c>
      <c r="AR1133" s="6" t="str">
        <f>HYPERLINK("http://catalog.hathitrust.org/Record/001413523","HathiTrust Record")</f>
        <v>HathiTrust Record</v>
      </c>
      <c r="AS1133" s="6" t="str">
        <f>HYPERLINK("https://creighton-primo.hosted.exlibrisgroup.com/primo-explore/search?tab=default_tab&amp;search_scope=EVERYTHING&amp;vid=01CRU&amp;lang=en_US&amp;offset=0&amp;query=any,contains,991004183159702656","Catalog Record")</f>
        <v>Catalog Record</v>
      </c>
      <c r="AT1133" s="6" t="str">
        <f>HYPERLINK("http://www.worldcat.org/oclc/2610838","WorldCat Record")</f>
        <v>WorldCat Record</v>
      </c>
      <c r="AU1133" s="3" t="s">
        <v>14166</v>
      </c>
      <c r="AV1133" s="3" t="s">
        <v>14167</v>
      </c>
      <c r="AW1133" s="3" t="s">
        <v>14168</v>
      </c>
      <c r="AX1133" s="3" t="s">
        <v>14168</v>
      </c>
      <c r="AY1133" s="3" t="s">
        <v>14169</v>
      </c>
      <c r="AZ1133" s="3" t="s">
        <v>75</v>
      </c>
      <c r="BC1133" s="3" t="s">
        <v>14170</v>
      </c>
      <c r="BD1133" s="3" t="s">
        <v>14171</v>
      </c>
    </row>
    <row r="1134" spans="1:56" ht="39" customHeight="1" x14ac:dyDescent="0.25">
      <c r="A1134" s="7" t="s">
        <v>58</v>
      </c>
      <c r="B1134" s="2" t="s">
        <v>14172</v>
      </c>
      <c r="C1134" s="2" t="s">
        <v>14173</v>
      </c>
      <c r="D1134" s="2" t="s">
        <v>14174</v>
      </c>
      <c r="F1134" s="3" t="s">
        <v>58</v>
      </c>
      <c r="G1134" s="3" t="s">
        <v>59</v>
      </c>
      <c r="H1134" s="3" t="s">
        <v>58</v>
      </c>
      <c r="I1134" s="3" t="s">
        <v>58</v>
      </c>
      <c r="J1134" s="3" t="s">
        <v>60</v>
      </c>
      <c r="K1134" s="2" t="s">
        <v>14175</v>
      </c>
      <c r="L1134" s="2" t="s">
        <v>6039</v>
      </c>
      <c r="M1134" s="3" t="s">
        <v>871</v>
      </c>
      <c r="O1134" s="3" t="s">
        <v>65</v>
      </c>
      <c r="P1134" s="3" t="s">
        <v>1358</v>
      </c>
      <c r="R1134" s="3" t="s">
        <v>68</v>
      </c>
      <c r="S1134" s="4">
        <v>8</v>
      </c>
      <c r="T1134" s="4">
        <v>8</v>
      </c>
      <c r="U1134" s="5" t="s">
        <v>14054</v>
      </c>
      <c r="V1134" s="5" t="s">
        <v>14054</v>
      </c>
      <c r="W1134" s="5" t="s">
        <v>12947</v>
      </c>
      <c r="X1134" s="5" t="s">
        <v>12947</v>
      </c>
      <c r="Y1134" s="4">
        <v>251</v>
      </c>
      <c r="Z1134" s="4">
        <v>226</v>
      </c>
      <c r="AA1134" s="4">
        <v>254</v>
      </c>
      <c r="AB1134" s="4">
        <v>5</v>
      </c>
      <c r="AC1134" s="4">
        <v>5</v>
      </c>
      <c r="AD1134" s="4">
        <v>35</v>
      </c>
      <c r="AE1134" s="4">
        <v>37</v>
      </c>
      <c r="AF1134" s="4">
        <v>11</v>
      </c>
      <c r="AG1134" s="4">
        <v>13</v>
      </c>
      <c r="AH1134" s="4">
        <v>9</v>
      </c>
      <c r="AI1134" s="4">
        <v>9</v>
      </c>
      <c r="AJ1134" s="4">
        <v>22</v>
      </c>
      <c r="AK1134" s="4">
        <v>24</v>
      </c>
      <c r="AL1134" s="4">
        <v>2</v>
      </c>
      <c r="AM1134" s="4">
        <v>2</v>
      </c>
      <c r="AN1134" s="4">
        <v>0</v>
      </c>
      <c r="AO1134" s="4">
        <v>0</v>
      </c>
      <c r="AP1134" s="3" t="s">
        <v>58</v>
      </c>
      <c r="AQ1134" s="3" t="s">
        <v>132</v>
      </c>
      <c r="AR1134" s="6" t="str">
        <f>HYPERLINK("http://catalog.hathitrust.org/Record/102156130","HathiTrust Record")</f>
        <v>HathiTrust Record</v>
      </c>
      <c r="AS1134" s="6" t="str">
        <f>HYPERLINK("https://creighton-primo.hosted.exlibrisgroup.com/primo-explore/search?tab=default_tab&amp;search_scope=EVERYTHING&amp;vid=01CRU&amp;lang=en_US&amp;offset=0&amp;query=any,contains,991002641699702656","Catalog Record")</f>
        <v>Catalog Record</v>
      </c>
      <c r="AT1134" s="6" t="str">
        <f>HYPERLINK("http://www.worldcat.org/oclc/384575","WorldCat Record")</f>
        <v>WorldCat Record</v>
      </c>
      <c r="AU1134" s="3" t="s">
        <v>14176</v>
      </c>
      <c r="AV1134" s="3" t="s">
        <v>14177</v>
      </c>
      <c r="AW1134" s="3" t="s">
        <v>14178</v>
      </c>
      <c r="AX1134" s="3" t="s">
        <v>14178</v>
      </c>
      <c r="AY1134" s="3" t="s">
        <v>14179</v>
      </c>
      <c r="AZ1134" s="3" t="s">
        <v>75</v>
      </c>
      <c r="BC1134" s="3" t="s">
        <v>14180</v>
      </c>
      <c r="BD1134" s="3" t="s">
        <v>14181</v>
      </c>
    </row>
    <row r="1135" spans="1:56" ht="39" customHeight="1" x14ac:dyDescent="0.25">
      <c r="A1135" s="7" t="s">
        <v>58</v>
      </c>
      <c r="B1135" s="2" t="s">
        <v>14182</v>
      </c>
      <c r="C1135" s="2" t="s">
        <v>14183</v>
      </c>
      <c r="D1135" s="2" t="s">
        <v>14184</v>
      </c>
      <c r="F1135" s="3" t="s">
        <v>58</v>
      </c>
      <c r="G1135" s="3" t="s">
        <v>59</v>
      </c>
      <c r="H1135" s="3" t="s">
        <v>58</v>
      </c>
      <c r="I1135" s="3" t="s">
        <v>58</v>
      </c>
      <c r="J1135" s="3" t="s">
        <v>60</v>
      </c>
      <c r="K1135" s="2" t="s">
        <v>14185</v>
      </c>
      <c r="L1135" s="2" t="s">
        <v>14186</v>
      </c>
      <c r="M1135" s="3" t="s">
        <v>215</v>
      </c>
      <c r="O1135" s="3" t="s">
        <v>65</v>
      </c>
      <c r="P1135" s="3" t="s">
        <v>9239</v>
      </c>
      <c r="Q1135" s="2" t="s">
        <v>14187</v>
      </c>
      <c r="R1135" s="3" t="s">
        <v>68</v>
      </c>
      <c r="S1135" s="4">
        <v>6</v>
      </c>
      <c r="T1135" s="4">
        <v>6</v>
      </c>
      <c r="U1135" s="5" t="s">
        <v>12020</v>
      </c>
      <c r="V1135" s="5" t="s">
        <v>12020</v>
      </c>
      <c r="W1135" s="5" t="s">
        <v>14188</v>
      </c>
      <c r="X1135" s="5" t="s">
        <v>14188</v>
      </c>
      <c r="Y1135" s="4">
        <v>276</v>
      </c>
      <c r="Z1135" s="4">
        <v>163</v>
      </c>
      <c r="AA1135" s="4">
        <v>172</v>
      </c>
      <c r="AB1135" s="4">
        <v>1</v>
      </c>
      <c r="AC1135" s="4">
        <v>1</v>
      </c>
      <c r="AD1135" s="4">
        <v>12</v>
      </c>
      <c r="AE1135" s="4">
        <v>13</v>
      </c>
      <c r="AF1135" s="4">
        <v>2</v>
      </c>
      <c r="AG1135" s="4">
        <v>3</v>
      </c>
      <c r="AH1135" s="4">
        <v>4</v>
      </c>
      <c r="AI1135" s="4">
        <v>5</v>
      </c>
      <c r="AJ1135" s="4">
        <v>7</v>
      </c>
      <c r="AK1135" s="4">
        <v>7</v>
      </c>
      <c r="AL1135" s="4">
        <v>0</v>
      </c>
      <c r="AM1135" s="4">
        <v>0</v>
      </c>
      <c r="AN1135" s="4">
        <v>0</v>
      </c>
      <c r="AO1135" s="4">
        <v>0</v>
      </c>
      <c r="AP1135" s="3" t="s">
        <v>58</v>
      </c>
      <c r="AQ1135" s="3" t="s">
        <v>58</v>
      </c>
      <c r="AS1135" s="6" t="str">
        <f>HYPERLINK("https://creighton-primo.hosted.exlibrisgroup.com/primo-explore/search?tab=default_tab&amp;search_scope=EVERYTHING&amp;vid=01CRU&amp;lang=en_US&amp;offset=0&amp;query=any,contains,991001253479702656","Catalog Record")</f>
        <v>Catalog Record</v>
      </c>
      <c r="AT1135" s="6" t="str">
        <f>HYPERLINK("http://www.worldcat.org/oclc/17699376","WorldCat Record")</f>
        <v>WorldCat Record</v>
      </c>
      <c r="AU1135" s="3" t="s">
        <v>14189</v>
      </c>
      <c r="AV1135" s="3" t="s">
        <v>14190</v>
      </c>
      <c r="AW1135" s="3" t="s">
        <v>14191</v>
      </c>
      <c r="AX1135" s="3" t="s">
        <v>14191</v>
      </c>
      <c r="AY1135" s="3" t="s">
        <v>14192</v>
      </c>
      <c r="AZ1135" s="3" t="s">
        <v>75</v>
      </c>
      <c r="BB1135" s="3" t="s">
        <v>14193</v>
      </c>
      <c r="BC1135" s="3" t="s">
        <v>14194</v>
      </c>
      <c r="BD1135" s="3" t="s">
        <v>14195</v>
      </c>
    </row>
    <row r="1136" spans="1:56" ht="39" customHeight="1" x14ac:dyDescent="0.25">
      <c r="A1136" s="7" t="s">
        <v>58</v>
      </c>
      <c r="B1136" s="2" t="s">
        <v>14196</v>
      </c>
      <c r="C1136" s="2" t="s">
        <v>14197</v>
      </c>
      <c r="D1136" s="2" t="s">
        <v>14198</v>
      </c>
      <c r="F1136" s="3" t="s">
        <v>58</v>
      </c>
      <c r="G1136" s="3" t="s">
        <v>59</v>
      </c>
      <c r="H1136" s="3" t="s">
        <v>58</v>
      </c>
      <c r="I1136" s="3" t="s">
        <v>58</v>
      </c>
      <c r="J1136" s="3" t="s">
        <v>60</v>
      </c>
      <c r="K1136" s="2" t="s">
        <v>14199</v>
      </c>
      <c r="L1136" s="2" t="s">
        <v>14200</v>
      </c>
      <c r="M1136" s="3" t="s">
        <v>427</v>
      </c>
      <c r="O1136" s="3" t="s">
        <v>9238</v>
      </c>
      <c r="P1136" s="3" t="s">
        <v>9239</v>
      </c>
      <c r="Q1136" s="2" t="s">
        <v>14201</v>
      </c>
      <c r="R1136" s="3" t="s">
        <v>68</v>
      </c>
      <c r="S1136" s="4">
        <v>4</v>
      </c>
      <c r="T1136" s="4">
        <v>4</v>
      </c>
      <c r="U1136" s="5" t="s">
        <v>14202</v>
      </c>
      <c r="V1136" s="5" t="s">
        <v>14202</v>
      </c>
      <c r="W1136" s="5" t="s">
        <v>13991</v>
      </c>
      <c r="X1136" s="5" t="s">
        <v>13991</v>
      </c>
      <c r="Y1136" s="4">
        <v>43</v>
      </c>
      <c r="Z1136" s="4">
        <v>24</v>
      </c>
      <c r="AA1136" s="4">
        <v>25</v>
      </c>
      <c r="AB1136" s="4">
        <v>1</v>
      </c>
      <c r="AC1136" s="4">
        <v>1</v>
      </c>
      <c r="AD1136" s="4">
        <v>3</v>
      </c>
      <c r="AE1136" s="4">
        <v>3</v>
      </c>
      <c r="AF1136" s="4">
        <v>0</v>
      </c>
      <c r="AG1136" s="4">
        <v>0</v>
      </c>
      <c r="AH1136" s="4">
        <v>1</v>
      </c>
      <c r="AI1136" s="4">
        <v>1</v>
      </c>
      <c r="AJ1136" s="4">
        <v>3</v>
      </c>
      <c r="AK1136" s="4">
        <v>3</v>
      </c>
      <c r="AL1136" s="4">
        <v>0</v>
      </c>
      <c r="AM1136" s="4">
        <v>0</v>
      </c>
      <c r="AN1136" s="4">
        <v>0</v>
      </c>
      <c r="AO1136" s="4">
        <v>0</v>
      </c>
      <c r="AP1136" s="3" t="s">
        <v>58</v>
      </c>
      <c r="AQ1136" s="3" t="s">
        <v>58</v>
      </c>
      <c r="AS1136" s="6" t="str">
        <f>HYPERLINK("https://creighton-primo.hosted.exlibrisgroup.com/primo-explore/search?tab=default_tab&amp;search_scope=EVERYTHING&amp;vid=01CRU&amp;lang=en_US&amp;offset=0&amp;query=any,contains,991004964709702656","Catalog Record")</f>
        <v>Catalog Record</v>
      </c>
      <c r="AT1136" s="6" t="str">
        <f>HYPERLINK("http://www.worldcat.org/oclc/6331079","WorldCat Record")</f>
        <v>WorldCat Record</v>
      </c>
      <c r="AU1136" s="3" t="s">
        <v>14203</v>
      </c>
      <c r="AV1136" s="3" t="s">
        <v>14204</v>
      </c>
      <c r="AW1136" s="3" t="s">
        <v>14205</v>
      </c>
      <c r="AX1136" s="3" t="s">
        <v>14205</v>
      </c>
      <c r="AY1136" s="3" t="s">
        <v>14206</v>
      </c>
      <c r="AZ1136" s="3" t="s">
        <v>75</v>
      </c>
      <c r="BB1136" s="3" t="s">
        <v>14207</v>
      </c>
      <c r="BC1136" s="3" t="s">
        <v>14208</v>
      </c>
      <c r="BD1136" s="3" t="s">
        <v>14209</v>
      </c>
    </row>
    <row r="1137" spans="1:56" ht="39" customHeight="1" x14ac:dyDescent="0.25">
      <c r="A1137" s="7" t="s">
        <v>58</v>
      </c>
      <c r="B1137" s="2" t="s">
        <v>14210</v>
      </c>
      <c r="C1137" s="2" t="s">
        <v>14211</v>
      </c>
      <c r="D1137" s="2" t="s">
        <v>14212</v>
      </c>
      <c r="F1137" s="3" t="s">
        <v>58</v>
      </c>
      <c r="G1137" s="3" t="s">
        <v>59</v>
      </c>
      <c r="H1137" s="3" t="s">
        <v>58</v>
      </c>
      <c r="I1137" s="3" t="s">
        <v>58</v>
      </c>
      <c r="J1137" s="3" t="s">
        <v>60</v>
      </c>
      <c r="L1137" s="2" t="s">
        <v>14213</v>
      </c>
      <c r="M1137" s="3" t="s">
        <v>415</v>
      </c>
      <c r="O1137" s="3" t="s">
        <v>65</v>
      </c>
      <c r="P1137" s="3" t="s">
        <v>186</v>
      </c>
      <c r="Q1137" s="2" t="s">
        <v>14214</v>
      </c>
      <c r="R1137" s="3" t="s">
        <v>68</v>
      </c>
      <c r="S1137" s="4">
        <v>6</v>
      </c>
      <c r="T1137" s="4">
        <v>6</v>
      </c>
      <c r="U1137" s="5" t="s">
        <v>14054</v>
      </c>
      <c r="V1137" s="5" t="s">
        <v>14054</v>
      </c>
      <c r="W1137" s="5" t="s">
        <v>13991</v>
      </c>
      <c r="X1137" s="5" t="s">
        <v>13991</v>
      </c>
      <c r="Y1137" s="4">
        <v>125</v>
      </c>
      <c r="Z1137" s="4">
        <v>106</v>
      </c>
      <c r="AA1137" s="4">
        <v>109</v>
      </c>
      <c r="AB1137" s="4">
        <v>3</v>
      </c>
      <c r="AC1137" s="4">
        <v>3</v>
      </c>
      <c r="AD1137" s="4">
        <v>16</v>
      </c>
      <c r="AE1137" s="4">
        <v>16</v>
      </c>
      <c r="AF1137" s="4">
        <v>2</v>
      </c>
      <c r="AG1137" s="4">
        <v>2</v>
      </c>
      <c r="AH1137" s="4">
        <v>4</v>
      </c>
      <c r="AI1137" s="4">
        <v>4</v>
      </c>
      <c r="AJ1137" s="4">
        <v>12</v>
      </c>
      <c r="AK1137" s="4">
        <v>12</v>
      </c>
      <c r="AL1137" s="4">
        <v>2</v>
      </c>
      <c r="AM1137" s="4">
        <v>2</v>
      </c>
      <c r="AN1137" s="4">
        <v>0</v>
      </c>
      <c r="AO1137" s="4">
        <v>0</v>
      </c>
      <c r="AP1137" s="3" t="s">
        <v>58</v>
      </c>
      <c r="AQ1137" s="3" t="s">
        <v>58</v>
      </c>
      <c r="AS1137" s="6" t="str">
        <f>HYPERLINK("https://creighton-primo.hosted.exlibrisgroup.com/primo-explore/search?tab=default_tab&amp;search_scope=EVERYTHING&amp;vid=01CRU&amp;lang=en_US&amp;offset=0&amp;query=any,contains,991003192149702656","Catalog Record")</f>
        <v>Catalog Record</v>
      </c>
      <c r="AT1137" s="6" t="str">
        <f>HYPERLINK("http://www.worldcat.org/oclc/717357","WorldCat Record")</f>
        <v>WorldCat Record</v>
      </c>
      <c r="AU1137" s="3" t="s">
        <v>14215</v>
      </c>
      <c r="AV1137" s="3" t="s">
        <v>14216</v>
      </c>
      <c r="AW1137" s="3" t="s">
        <v>14217</v>
      </c>
      <c r="AX1137" s="3" t="s">
        <v>14217</v>
      </c>
      <c r="AY1137" s="3" t="s">
        <v>14218</v>
      </c>
      <c r="AZ1137" s="3" t="s">
        <v>75</v>
      </c>
      <c r="BC1137" s="3" t="s">
        <v>14219</v>
      </c>
      <c r="BD1137" s="3" t="s">
        <v>14220</v>
      </c>
    </row>
    <row r="1138" spans="1:56" ht="39" customHeight="1" x14ac:dyDescent="0.25">
      <c r="A1138" s="7" t="s">
        <v>58</v>
      </c>
      <c r="B1138" s="2" t="s">
        <v>14221</v>
      </c>
      <c r="C1138" s="2" t="s">
        <v>14222</v>
      </c>
      <c r="D1138" s="2" t="s">
        <v>14223</v>
      </c>
      <c r="F1138" s="3" t="s">
        <v>58</v>
      </c>
      <c r="G1138" s="3" t="s">
        <v>59</v>
      </c>
      <c r="H1138" s="3" t="s">
        <v>58</v>
      </c>
      <c r="I1138" s="3" t="s">
        <v>58</v>
      </c>
      <c r="J1138" s="3" t="s">
        <v>60</v>
      </c>
      <c r="L1138" s="2" t="s">
        <v>14224</v>
      </c>
      <c r="M1138" s="3" t="s">
        <v>144</v>
      </c>
      <c r="O1138" s="3" t="s">
        <v>65</v>
      </c>
      <c r="P1138" s="3" t="s">
        <v>492</v>
      </c>
      <c r="R1138" s="3" t="s">
        <v>68</v>
      </c>
      <c r="S1138" s="4">
        <v>2</v>
      </c>
      <c r="T1138" s="4">
        <v>2</v>
      </c>
      <c r="U1138" s="5" t="s">
        <v>14225</v>
      </c>
      <c r="V1138" s="5" t="s">
        <v>14225</v>
      </c>
      <c r="W1138" s="5" t="s">
        <v>70</v>
      </c>
      <c r="X1138" s="5" t="s">
        <v>70</v>
      </c>
      <c r="Y1138" s="4">
        <v>14</v>
      </c>
      <c r="Z1138" s="4">
        <v>14</v>
      </c>
      <c r="AA1138" s="4">
        <v>14</v>
      </c>
      <c r="AB1138" s="4">
        <v>1</v>
      </c>
      <c r="AC1138" s="4">
        <v>1</v>
      </c>
      <c r="AD1138" s="4">
        <v>3</v>
      </c>
      <c r="AE1138" s="4">
        <v>3</v>
      </c>
      <c r="AF1138" s="4">
        <v>0</v>
      </c>
      <c r="AG1138" s="4">
        <v>0</v>
      </c>
      <c r="AH1138" s="4">
        <v>1</v>
      </c>
      <c r="AI1138" s="4">
        <v>1</v>
      </c>
      <c r="AJ1138" s="4">
        <v>2</v>
      </c>
      <c r="AK1138" s="4">
        <v>2</v>
      </c>
      <c r="AL1138" s="4">
        <v>0</v>
      </c>
      <c r="AM1138" s="4">
        <v>0</v>
      </c>
      <c r="AN1138" s="4">
        <v>0</v>
      </c>
      <c r="AO1138" s="4">
        <v>0</v>
      </c>
      <c r="AP1138" s="3" t="s">
        <v>58</v>
      </c>
      <c r="AQ1138" s="3" t="s">
        <v>58</v>
      </c>
      <c r="AS1138" s="6" t="str">
        <f>HYPERLINK("https://creighton-primo.hosted.exlibrisgroup.com/primo-explore/search?tab=default_tab&amp;search_scope=EVERYTHING&amp;vid=01CRU&amp;lang=en_US&amp;offset=0&amp;query=any,contains,991004843239702656","Catalog Record")</f>
        <v>Catalog Record</v>
      </c>
      <c r="AT1138" s="6" t="str">
        <f>HYPERLINK("http://www.worldcat.org/oclc/5527424","WorldCat Record")</f>
        <v>WorldCat Record</v>
      </c>
      <c r="AU1138" s="3" t="s">
        <v>14226</v>
      </c>
      <c r="AV1138" s="3" t="s">
        <v>14227</v>
      </c>
      <c r="AW1138" s="3" t="s">
        <v>14228</v>
      </c>
      <c r="AX1138" s="3" t="s">
        <v>14228</v>
      </c>
      <c r="AY1138" s="3" t="s">
        <v>14229</v>
      </c>
      <c r="AZ1138" s="3" t="s">
        <v>75</v>
      </c>
      <c r="BC1138" s="3" t="s">
        <v>14230</v>
      </c>
      <c r="BD1138" s="3" t="s">
        <v>14231</v>
      </c>
    </row>
    <row r="1139" spans="1:56" ht="39" customHeight="1" x14ac:dyDescent="0.25">
      <c r="A1139" s="7" t="s">
        <v>58</v>
      </c>
      <c r="B1139" s="2" t="s">
        <v>14232</v>
      </c>
      <c r="C1139" s="2" t="s">
        <v>14233</v>
      </c>
      <c r="D1139" s="2" t="s">
        <v>14234</v>
      </c>
      <c r="F1139" s="3" t="s">
        <v>58</v>
      </c>
      <c r="G1139" s="3" t="s">
        <v>59</v>
      </c>
      <c r="H1139" s="3" t="s">
        <v>58</v>
      </c>
      <c r="I1139" s="3" t="s">
        <v>58</v>
      </c>
      <c r="J1139" s="3" t="s">
        <v>60</v>
      </c>
      <c r="K1139" s="2" t="s">
        <v>6061</v>
      </c>
      <c r="L1139" s="2" t="s">
        <v>6062</v>
      </c>
      <c r="M1139" s="3" t="s">
        <v>128</v>
      </c>
      <c r="O1139" s="3" t="s">
        <v>65</v>
      </c>
      <c r="P1139" s="3" t="s">
        <v>967</v>
      </c>
      <c r="R1139" s="3" t="s">
        <v>68</v>
      </c>
      <c r="S1139" s="4">
        <v>7</v>
      </c>
      <c r="T1139" s="4">
        <v>7</v>
      </c>
      <c r="U1139" s="5" t="s">
        <v>14235</v>
      </c>
      <c r="V1139" s="5" t="s">
        <v>14235</v>
      </c>
      <c r="W1139" s="5" t="s">
        <v>1020</v>
      </c>
      <c r="X1139" s="5" t="s">
        <v>1020</v>
      </c>
      <c r="Y1139" s="4">
        <v>44</v>
      </c>
      <c r="Z1139" s="4">
        <v>38</v>
      </c>
      <c r="AA1139" s="4">
        <v>38</v>
      </c>
      <c r="AB1139" s="4">
        <v>1</v>
      </c>
      <c r="AC1139" s="4">
        <v>1</v>
      </c>
      <c r="AD1139" s="4">
        <v>4</v>
      </c>
      <c r="AE1139" s="4">
        <v>4</v>
      </c>
      <c r="AF1139" s="4">
        <v>1</v>
      </c>
      <c r="AG1139" s="4">
        <v>1</v>
      </c>
      <c r="AH1139" s="4">
        <v>1</v>
      </c>
      <c r="AI1139" s="4">
        <v>1</v>
      </c>
      <c r="AJ1139" s="4">
        <v>3</v>
      </c>
      <c r="AK1139" s="4">
        <v>3</v>
      </c>
      <c r="AL1139" s="4">
        <v>0</v>
      </c>
      <c r="AM1139" s="4">
        <v>0</v>
      </c>
      <c r="AN1139" s="4">
        <v>0</v>
      </c>
      <c r="AO1139" s="4">
        <v>0</v>
      </c>
      <c r="AP1139" s="3" t="s">
        <v>58</v>
      </c>
      <c r="AQ1139" s="3" t="s">
        <v>58</v>
      </c>
      <c r="AS1139" s="6" t="str">
        <f>HYPERLINK("https://creighton-primo.hosted.exlibrisgroup.com/primo-explore/search?tab=default_tab&amp;search_scope=EVERYTHING&amp;vid=01CRU&amp;lang=en_US&amp;offset=0&amp;query=any,contains,991004499459702656","Catalog Record")</f>
        <v>Catalog Record</v>
      </c>
      <c r="AT1139" s="6" t="str">
        <f>HYPERLINK("http://www.worldcat.org/oclc/3710662","WorldCat Record")</f>
        <v>WorldCat Record</v>
      </c>
      <c r="AU1139" s="3" t="s">
        <v>14236</v>
      </c>
      <c r="AV1139" s="3" t="s">
        <v>14237</v>
      </c>
      <c r="AW1139" s="3" t="s">
        <v>14238</v>
      </c>
      <c r="AX1139" s="3" t="s">
        <v>14238</v>
      </c>
      <c r="AY1139" s="3" t="s">
        <v>14239</v>
      </c>
      <c r="AZ1139" s="3" t="s">
        <v>75</v>
      </c>
      <c r="BB1139" s="3" t="s">
        <v>14240</v>
      </c>
      <c r="BC1139" s="3" t="s">
        <v>14241</v>
      </c>
      <c r="BD1139" s="3" t="s">
        <v>14242</v>
      </c>
    </row>
    <row r="1140" spans="1:56" ht="39" customHeight="1" x14ac:dyDescent="0.25">
      <c r="A1140" s="7" t="s">
        <v>58</v>
      </c>
      <c r="B1140" s="2" t="s">
        <v>14243</v>
      </c>
      <c r="C1140" s="2" t="s">
        <v>14244</v>
      </c>
      <c r="D1140" s="2" t="s">
        <v>14245</v>
      </c>
      <c r="F1140" s="3" t="s">
        <v>58</v>
      </c>
      <c r="G1140" s="3" t="s">
        <v>59</v>
      </c>
      <c r="H1140" s="3" t="s">
        <v>58</v>
      </c>
      <c r="I1140" s="3" t="s">
        <v>58</v>
      </c>
      <c r="J1140" s="3" t="s">
        <v>60</v>
      </c>
      <c r="K1140" s="2" t="s">
        <v>1736</v>
      </c>
      <c r="L1140" s="2" t="s">
        <v>14246</v>
      </c>
      <c r="M1140" s="3" t="s">
        <v>3882</v>
      </c>
      <c r="O1140" s="3" t="s">
        <v>65</v>
      </c>
      <c r="P1140" s="3" t="s">
        <v>954</v>
      </c>
      <c r="R1140" s="3" t="s">
        <v>68</v>
      </c>
      <c r="S1140" s="4">
        <v>5</v>
      </c>
      <c r="T1140" s="4">
        <v>5</v>
      </c>
      <c r="U1140" s="5" t="s">
        <v>14247</v>
      </c>
      <c r="V1140" s="5" t="s">
        <v>14247</v>
      </c>
      <c r="W1140" s="5" t="s">
        <v>13088</v>
      </c>
      <c r="X1140" s="5" t="s">
        <v>13088</v>
      </c>
      <c r="Y1140" s="4">
        <v>88</v>
      </c>
      <c r="Z1140" s="4">
        <v>72</v>
      </c>
      <c r="AA1140" s="4">
        <v>118</v>
      </c>
      <c r="AB1140" s="4">
        <v>1</v>
      </c>
      <c r="AC1140" s="4">
        <v>1</v>
      </c>
      <c r="AD1140" s="4">
        <v>4</v>
      </c>
      <c r="AE1140" s="4">
        <v>7</v>
      </c>
      <c r="AF1140" s="4">
        <v>2</v>
      </c>
      <c r="AG1140" s="4">
        <v>3</v>
      </c>
      <c r="AH1140" s="4">
        <v>0</v>
      </c>
      <c r="AI1140" s="4">
        <v>0</v>
      </c>
      <c r="AJ1140" s="4">
        <v>3</v>
      </c>
      <c r="AK1140" s="4">
        <v>5</v>
      </c>
      <c r="AL1140" s="4">
        <v>0</v>
      </c>
      <c r="AM1140" s="4">
        <v>0</v>
      </c>
      <c r="AN1140" s="4">
        <v>0</v>
      </c>
      <c r="AO1140" s="4">
        <v>0</v>
      </c>
      <c r="AP1140" s="3" t="s">
        <v>58</v>
      </c>
      <c r="AQ1140" s="3" t="s">
        <v>58</v>
      </c>
      <c r="AS1140" s="6" t="str">
        <f>HYPERLINK("https://creighton-primo.hosted.exlibrisgroup.com/primo-explore/search?tab=default_tab&amp;search_scope=EVERYTHING&amp;vid=01CRU&amp;lang=en_US&amp;offset=0&amp;query=any,contains,991003783559702656","Catalog Record")</f>
        <v>Catalog Record</v>
      </c>
      <c r="AT1140" s="6" t="str">
        <f>HYPERLINK("http://www.worldcat.org/oclc/1498655","WorldCat Record")</f>
        <v>WorldCat Record</v>
      </c>
      <c r="AU1140" s="3" t="s">
        <v>14248</v>
      </c>
      <c r="AV1140" s="3" t="s">
        <v>14249</v>
      </c>
      <c r="AW1140" s="3" t="s">
        <v>14250</v>
      </c>
      <c r="AX1140" s="3" t="s">
        <v>14250</v>
      </c>
      <c r="AY1140" s="3" t="s">
        <v>14251</v>
      </c>
      <c r="AZ1140" s="3" t="s">
        <v>75</v>
      </c>
      <c r="BC1140" s="3" t="s">
        <v>14252</v>
      </c>
      <c r="BD1140" s="3" t="s">
        <v>14253</v>
      </c>
    </row>
    <row r="1141" spans="1:56" ht="39" customHeight="1" x14ac:dyDescent="0.25">
      <c r="A1141" s="7" t="s">
        <v>58</v>
      </c>
      <c r="B1141" s="2" t="s">
        <v>14254</v>
      </c>
      <c r="C1141" s="2" t="s">
        <v>14255</v>
      </c>
      <c r="D1141" s="2" t="s">
        <v>14256</v>
      </c>
      <c r="F1141" s="3" t="s">
        <v>58</v>
      </c>
      <c r="G1141" s="3" t="s">
        <v>59</v>
      </c>
      <c r="H1141" s="3" t="s">
        <v>58</v>
      </c>
      <c r="I1141" s="3" t="s">
        <v>58</v>
      </c>
      <c r="J1141" s="3" t="s">
        <v>60</v>
      </c>
      <c r="K1141" s="2" t="s">
        <v>14257</v>
      </c>
      <c r="L1141" s="2" t="s">
        <v>14258</v>
      </c>
      <c r="M1141" s="3" t="s">
        <v>273</v>
      </c>
      <c r="O1141" s="3" t="s">
        <v>65</v>
      </c>
      <c r="P1141" s="3" t="s">
        <v>695</v>
      </c>
      <c r="Q1141" s="2" t="s">
        <v>14259</v>
      </c>
      <c r="R1141" s="3" t="s">
        <v>68</v>
      </c>
      <c r="S1141" s="4">
        <v>3</v>
      </c>
      <c r="T1141" s="4">
        <v>3</v>
      </c>
      <c r="U1141" s="5" t="s">
        <v>14260</v>
      </c>
      <c r="V1141" s="5" t="s">
        <v>14260</v>
      </c>
      <c r="W1141" s="5" t="s">
        <v>14261</v>
      </c>
      <c r="X1141" s="5" t="s">
        <v>14261</v>
      </c>
      <c r="Y1141" s="4">
        <v>411</v>
      </c>
      <c r="Z1141" s="4">
        <v>352</v>
      </c>
      <c r="AA1141" s="4">
        <v>352</v>
      </c>
      <c r="AB1141" s="4">
        <v>5</v>
      </c>
      <c r="AC1141" s="4">
        <v>5</v>
      </c>
      <c r="AD1141" s="4">
        <v>29</v>
      </c>
      <c r="AE1141" s="4">
        <v>29</v>
      </c>
      <c r="AF1141" s="4">
        <v>11</v>
      </c>
      <c r="AG1141" s="4">
        <v>11</v>
      </c>
      <c r="AH1141" s="4">
        <v>7</v>
      </c>
      <c r="AI1141" s="4">
        <v>7</v>
      </c>
      <c r="AJ1141" s="4">
        <v>16</v>
      </c>
      <c r="AK1141" s="4">
        <v>16</v>
      </c>
      <c r="AL1141" s="4">
        <v>4</v>
      </c>
      <c r="AM1141" s="4">
        <v>4</v>
      </c>
      <c r="AN1141" s="4">
        <v>0</v>
      </c>
      <c r="AO1141" s="4">
        <v>0</v>
      </c>
      <c r="AP1141" s="3" t="s">
        <v>58</v>
      </c>
      <c r="AQ1141" s="3" t="s">
        <v>58</v>
      </c>
      <c r="AS1141" s="6" t="str">
        <f>HYPERLINK("https://creighton-primo.hosted.exlibrisgroup.com/primo-explore/search?tab=default_tab&amp;search_scope=EVERYTHING&amp;vid=01CRU&amp;lang=en_US&amp;offset=0&amp;query=any,contains,991002332059702656","Catalog Record")</f>
        <v>Catalog Record</v>
      </c>
      <c r="AT1141" s="6" t="str">
        <f>HYPERLINK("http://www.worldcat.org/oclc/30355348","WorldCat Record")</f>
        <v>WorldCat Record</v>
      </c>
      <c r="AU1141" s="3" t="s">
        <v>14262</v>
      </c>
      <c r="AV1141" s="3" t="s">
        <v>14263</v>
      </c>
      <c r="AW1141" s="3" t="s">
        <v>14264</v>
      </c>
      <c r="AX1141" s="3" t="s">
        <v>14264</v>
      </c>
      <c r="AY1141" s="3" t="s">
        <v>14265</v>
      </c>
      <c r="AZ1141" s="3" t="s">
        <v>75</v>
      </c>
      <c r="BB1141" s="3" t="s">
        <v>14266</v>
      </c>
      <c r="BC1141" s="3" t="s">
        <v>14267</v>
      </c>
      <c r="BD1141" s="3" t="s">
        <v>14268</v>
      </c>
    </row>
    <row r="1142" spans="1:56" ht="39" customHeight="1" x14ac:dyDescent="0.25">
      <c r="A1142" s="7" t="s">
        <v>58</v>
      </c>
      <c r="B1142" s="2" t="s">
        <v>14269</v>
      </c>
      <c r="C1142" s="2" t="s">
        <v>14270</v>
      </c>
      <c r="D1142" s="2" t="s">
        <v>14271</v>
      </c>
      <c r="F1142" s="3" t="s">
        <v>58</v>
      </c>
      <c r="G1142" s="3" t="s">
        <v>59</v>
      </c>
      <c r="H1142" s="3" t="s">
        <v>58</v>
      </c>
      <c r="I1142" s="3" t="s">
        <v>58</v>
      </c>
      <c r="J1142" s="3" t="s">
        <v>60</v>
      </c>
      <c r="K1142" s="2" t="s">
        <v>14272</v>
      </c>
      <c r="L1142" s="2" t="s">
        <v>14273</v>
      </c>
      <c r="M1142" s="3" t="s">
        <v>427</v>
      </c>
      <c r="O1142" s="3" t="s">
        <v>65</v>
      </c>
      <c r="P1142" s="3" t="s">
        <v>186</v>
      </c>
      <c r="R1142" s="3" t="s">
        <v>68</v>
      </c>
      <c r="S1142" s="4">
        <v>8</v>
      </c>
      <c r="T1142" s="4">
        <v>8</v>
      </c>
      <c r="U1142" s="5" t="s">
        <v>13258</v>
      </c>
      <c r="V1142" s="5" t="s">
        <v>13258</v>
      </c>
      <c r="W1142" s="5" t="s">
        <v>13991</v>
      </c>
      <c r="X1142" s="5" t="s">
        <v>13991</v>
      </c>
      <c r="Y1142" s="4">
        <v>343</v>
      </c>
      <c r="Z1142" s="4">
        <v>307</v>
      </c>
      <c r="AA1142" s="4">
        <v>312</v>
      </c>
      <c r="AB1142" s="4">
        <v>2</v>
      </c>
      <c r="AC1142" s="4">
        <v>2</v>
      </c>
      <c r="AD1142" s="4">
        <v>15</v>
      </c>
      <c r="AE1142" s="4">
        <v>15</v>
      </c>
      <c r="AF1142" s="4">
        <v>5</v>
      </c>
      <c r="AG1142" s="4">
        <v>5</v>
      </c>
      <c r="AH1142" s="4">
        <v>2</v>
      </c>
      <c r="AI1142" s="4">
        <v>2</v>
      </c>
      <c r="AJ1142" s="4">
        <v>13</v>
      </c>
      <c r="AK1142" s="4">
        <v>13</v>
      </c>
      <c r="AL1142" s="4">
        <v>1</v>
      </c>
      <c r="AM1142" s="4">
        <v>1</v>
      </c>
      <c r="AN1142" s="4">
        <v>0</v>
      </c>
      <c r="AO1142" s="4">
        <v>0</v>
      </c>
      <c r="AP1142" s="3" t="s">
        <v>58</v>
      </c>
      <c r="AQ1142" s="3" t="s">
        <v>58</v>
      </c>
      <c r="AS1142" s="6" t="str">
        <f>HYPERLINK("https://creighton-primo.hosted.exlibrisgroup.com/primo-explore/search?tab=default_tab&amp;search_scope=EVERYTHING&amp;vid=01CRU&amp;lang=en_US&amp;offset=0&amp;query=any,contains,991004695329702656","Catalog Record")</f>
        <v>Catalog Record</v>
      </c>
      <c r="AT1142" s="6" t="str">
        <f>HYPERLINK("http://www.worldcat.org/oclc/4638912","WorldCat Record")</f>
        <v>WorldCat Record</v>
      </c>
      <c r="AU1142" s="3" t="s">
        <v>14274</v>
      </c>
      <c r="AV1142" s="3" t="s">
        <v>14275</v>
      </c>
      <c r="AW1142" s="3" t="s">
        <v>14276</v>
      </c>
      <c r="AX1142" s="3" t="s">
        <v>14276</v>
      </c>
      <c r="AY1142" s="3" t="s">
        <v>14277</v>
      </c>
      <c r="AZ1142" s="3" t="s">
        <v>75</v>
      </c>
      <c r="BB1142" s="3" t="s">
        <v>14278</v>
      </c>
      <c r="BC1142" s="3" t="s">
        <v>14279</v>
      </c>
      <c r="BD1142" s="3" t="s">
        <v>14280</v>
      </c>
    </row>
    <row r="1143" spans="1:56" ht="39" customHeight="1" x14ac:dyDescent="0.25">
      <c r="A1143" s="7" t="s">
        <v>58</v>
      </c>
      <c r="B1143" s="2" t="s">
        <v>14281</v>
      </c>
      <c r="C1143" s="2" t="s">
        <v>14282</v>
      </c>
      <c r="D1143" s="2" t="s">
        <v>14283</v>
      </c>
      <c r="F1143" s="3" t="s">
        <v>58</v>
      </c>
      <c r="G1143" s="3" t="s">
        <v>59</v>
      </c>
      <c r="H1143" s="3" t="s">
        <v>58</v>
      </c>
      <c r="I1143" s="3" t="s">
        <v>58</v>
      </c>
      <c r="J1143" s="3" t="s">
        <v>60</v>
      </c>
      <c r="L1143" s="2" t="s">
        <v>14273</v>
      </c>
      <c r="M1143" s="3" t="s">
        <v>427</v>
      </c>
      <c r="O1143" s="3" t="s">
        <v>65</v>
      </c>
      <c r="P1143" s="3" t="s">
        <v>186</v>
      </c>
      <c r="R1143" s="3" t="s">
        <v>68</v>
      </c>
      <c r="S1143" s="4">
        <v>6</v>
      </c>
      <c r="T1143" s="4">
        <v>6</v>
      </c>
      <c r="U1143" s="5" t="s">
        <v>13258</v>
      </c>
      <c r="V1143" s="5" t="s">
        <v>13258</v>
      </c>
      <c r="W1143" s="5" t="s">
        <v>13991</v>
      </c>
      <c r="X1143" s="5" t="s">
        <v>13991</v>
      </c>
      <c r="Y1143" s="4">
        <v>569</v>
      </c>
      <c r="Z1143" s="4">
        <v>494</v>
      </c>
      <c r="AA1143" s="4">
        <v>495</v>
      </c>
      <c r="AB1143" s="4">
        <v>3</v>
      </c>
      <c r="AC1143" s="4">
        <v>3</v>
      </c>
      <c r="AD1143" s="4">
        <v>26</v>
      </c>
      <c r="AE1143" s="4">
        <v>26</v>
      </c>
      <c r="AF1143" s="4">
        <v>9</v>
      </c>
      <c r="AG1143" s="4">
        <v>9</v>
      </c>
      <c r="AH1143" s="4">
        <v>4</v>
      </c>
      <c r="AI1143" s="4">
        <v>4</v>
      </c>
      <c r="AJ1143" s="4">
        <v>16</v>
      </c>
      <c r="AK1143" s="4">
        <v>16</v>
      </c>
      <c r="AL1143" s="4">
        <v>2</v>
      </c>
      <c r="AM1143" s="4">
        <v>2</v>
      </c>
      <c r="AN1143" s="4">
        <v>0</v>
      </c>
      <c r="AO1143" s="4">
        <v>0</v>
      </c>
      <c r="AP1143" s="3" t="s">
        <v>58</v>
      </c>
      <c r="AQ1143" s="3" t="s">
        <v>58</v>
      </c>
      <c r="AS1143" s="6" t="str">
        <f>HYPERLINK("https://creighton-primo.hosted.exlibrisgroup.com/primo-explore/search?tab=default_tab&amp;search_scope=EVERYTHING&amp;vid=01CRU&amp;lang=en_US&amp;offset=0&amp;query=any,contains,991004716709702656","Catalog Record")</f>
        <v>Catalog Record</v>
      </c>
      <c r="AT1143" s="6" t="str">
        <f>HYPERLINK("http://www.worldcat.org/oclc/4776446","WorldCat Record")</f>
        <v>WorldCat Record</v>
      </c>
      <c r="AU1143" s="3" t="s">
        <v>14284</v>
      </c>
      <c r="AV1143" s="3" t="s">
        <v>14285</v>
      </c>
      <c r="AW1143" s="3" t="s">
        <v>14286</v>
      </c>
      <c r="AX1143" s="3" t="s">
        <v>14286</v>
      </c>
      <c r="AY1143" s="3" t="s">
        <v>14287</v>
      </c>
      <c r="AZ1143" s="3" t="s">
        <v>75</v>
      </c>
      <c r="BB1143" s="3" t="s">
        <v>14288</v>
      </c>
      <c r="BC1143" s="3" t="s">
        <v>14289</v>
      </c>
      <c r="BD1143" s="3" t="s">
        <v>14290</v>
      </c>
    </row>
    <row r="1144" spans="1:56" ht="39" customHeight="1" x14ac:dyDescent="0.25">
      <c r="A1144" s="7" t="s">
        <v>58</v>
      </c>
      <c r="B1144" s="2" t="s">
        <v>14291</v>
      </c>
      <c r="C1144" s="2" t="s">
        <v>14292</v>
      </c>
      <c r="D1144" s="2" t="s">
        <v>14293</v>
      </c>
      <c r="F1144" s="3" t="s">
        <v>58</v>
      </c>
      <c r="G1144" s="3" t="s">
        <v>59</v>
      </c>
      <c r="H1144" s="3" t="s">
        <v>58</v>
      </c>
      <c r="I1144" s="3" t="s">
        <v>58</v>
      </c>
      <c r="J1144" s="3" t="s">
        <v>60</v>
      </c>
      <c r="K1144" s="2" t="s">
        <v>14294</v>
      </c>
      <c r="L1144" s="2" t="s">
        <v>14295</v>
      </c>
      <c r="M1144" s="3" t="s">
        <v>759</v>
      </c>
      <c r="O1144" s="3" t="s">
        <v>65</v>
      </c>
      <c r="P1144" s="3" t="s">
        <v>230</v>
      </c>
      <c r="R1144" s="3" t="s">
        <v>68</v>
      </c>
      <c r="S1144" s="4">
        <v>8</v>
      </c>
      <c r="T1144" s="4">
        <v>8</v>
      </c>
      <c r="U1144" s="5" t="s">
        <v>11996</v>
      </c>
      <c r="V1144" s="5" t="s">
        <v>11996</v>
      </c>
      <c r="W1144" s="5" t="s">
        <v>14296</v>
      </c>
      <c r="X1144" s="5" t="s">
        <v>14296</v>
      </c>
      <c r="Y1144" s="4">
        <v>262</v>
      </c>
      <c r="Z1144" s="4">
        <v>219</v>
      </c>
      <c r="AA1144" s="4">
        <v>235</v>
      </c>
      <c r="AB1144" s="4">
        <v>2</v>
      </c>
      <c r="AC1144" s="4">
        <v>3</v>
      </c>
      <c r="AD1144" s="4">
        <v>17</v>
      </c>
      <c r="AE1144" s="4">
        <v>19</v>
      </c>
      <c r="AF1144" s="4">
        <v>8</v>
      </c>
      <c r="AG1144" s="4">
        <v>9</v>
      </c>
      <c r="AH1144" s="4">
        <v>4</v>
      </c>
      <c r="AI1144" s="4">
        <v>5</v>
      </c>
      <c r="AJ1144" s="4">
        <v>11</v>
      </c>
      <c r="AK1144" s="4">
        <v>11</v>
      </c>
      <c r="AL1144" s="4">
        <v>1</v>
      </c>
      <c r="AM1144" s="4">
        <v>2</v>
      </c>
      <c r="AN1144" s="4">
        <v>0</v>
      </c>
      <c r="AO1144" s="4">
        <v>0</v>
      </c>
      <c r="AP1144" s="3" t="s">
        <v>58</v>
      </c>
      <c r="AQ1144" s="3" t="s">
        <v>58</v>
      </c>
      <c r="AS1144" s="6" t="str">
        <f>HYPERLINK("https://creighton-primo.hosted.exlibrisgroup.com/primo-explore/search?tab=default_tab&amp;search_scope=EVERYTHING&amp;vid=01CRU&amp;lang=en_US&amp;offset=0&amp;query=any,contains,991001185099702656","Catalog Record")</f>
        <v>Catalog Record</v>
      </c>
      <c r="AT1144" s="6" t="str">
        <f>HYPERLINK("http://www.worldcat.org/oclc/17201394","WorldCat Record")</f>
        <v>WorldCat Record</v>
      </c>
      <c r="AU1144" s="3" t="s">
        <v>14297</v>
      </c>
      <c r="AV1144" s="3" t="s">
        <v>14298</v>
      </c>
      <c r="AW1144" s="3" t="s">
        <v>14299</v>
      </c>
      <c r="AX1144" s="3" t="s">
        <v>14299</v>
      </c>
      <c r="AY1144" s="3" t="s">
        <v>14300</v>
      </c>
      <c r="AZ1144" s="3" t="s">
        <v>75</v>
      </c>
      <c r="BB1144" s="3" t="s">
        <v>14301</v>
      </c>
      <c r="BC1144" s="3" t="s">
        <v>14302</v>
      </c>
      <c r="BD1144" s="3" t="s">
        <v>14303</v>
      </c>
    </row>
    <row r="1145" spans="1:56" ht="39" customHeight="1" x14ac:dyDescent="0.25">
      <c r="A1145" s="7" t="s">
        <v>58</v>
      </c>
      <c r="B1145" s="2" t="s">
        <v>14304</v>
      </c>
      <c r="C1145" s="2" t="s">
        <v>14305</v>
      </c>
      <c r="D1145" s="2" t="s">
        <v>14306</v>
      </c>
      <c r="F1145" s="3" t="s">
        <v>58</v>
      </c>
      <c r="G1145" s="3" t="s">
        <v>59</v>
      </c>
      <c r="H1145" s="3" t="s">
        <v>58</v>
      </c>
      <c r="I1145" s="3" t="s">
        <v>58</v>
      </c>
      <c r="J1145" s="3" t="s">
        <v>60</v>
      </c>
      <c r="K1145" s="2" t="s">
        <v>14307</v>
      </c>
      <c r="L1145" s="2" t="s">
        <v>14308</v>
      </c>
      <c r="M1145" s="3" t="s">
        <v>389</v>
      </c>
      <c r="O1145" s="3" t="s">
        <v>65</v>
      </c>
      <c r="P1145" s="3" t="s">
        <v>304</v>
      </c>
      <c r="R1145" s="3" t="s">
        <v>68</v>
      </c>
      <c r="S1145" s="4">
        <v>8</v>
      </c>
      <c r="T1145" s="4">
        <v>8</v>
      </c>
      <c r="U1145" s="5" t="s">
        <v>14309</v>
      </c>
      <c r="V1145" s="5" t="s">
        <v>14309</v>
      </c>
      <c r="W1145" s="5" t="s">
        <v>13991</v>
      </c>
      <c r="X1145" s="5" t="s">
        <v>13991</v>
      </c>
      <c r="Y1145" s="4">
        <v>519</v>
      </c>
      <c r="Z1145" s="4">
        <v>428</v>
      </c>
      <c r="AA1145" s="4">
        <v>449</v>
      </c>
      <c r="AB1145" s="4">
        <v>6</v>
      </c>
      <c r="AC1145" s="4">
        <v>7</v>
      </c>
      <c r="AD1145" s="4">
        <v>40</v>
      </c>
      <c r="AE1145" s="4">
        <v>43</v>
      </c>
      <c r="AF1145" s="4">
        <v>14</v>
      </c>
      <c r="AG1145" s="4">
        <v>16</v>
      </c>
      <c r="AH1145" s="4">
        <v>10</v>
      </c>
      <c r="AI1145" s="4">
        <v>11</v>
      </c>
      <c r="AJ1145" s="4">
        <v>25</v>
      </c>
      <c r="AK1145" s="4">
        <v>25</v>
      </c>
      <c r="AL1145" s="4">
        <v>3</v>
      </c>
      <c r="AM1145" s="4">
        <v>4</v>
      </c>
      <c r="AN1145" s="4">
        <v>0</v>
      </c>
      <c r="AO1145" s="4">
        <v>0</v>
      </c>
      <c r="AP1145" s="3" t="s">
        <v>58</v>
      </c>
      <c r="AQ1145" s="3" t="s">
        <v>132</v>
      </c>
      <c r="AR1145" s="6" t="str">
        <f>HYPERLINK("http://catalog.hathitrust.org/Record/000158423","HathiTrust Record")</f>
        <v>HathiTrust Record</v>
      </c>
      <c r="AS1145" s="6" t="str">
        <f>HYPERLINK("https://creighton-primo.hosted.exlibrisgroup.com/primo-explore/search?tab=default_tab&amp;search_scope=EVERYTHING&amp;vid=01CRU&amp;lang=en_US&amp;offset=0&amp;query=any,contains,991002779489702656","Catalog Record")</f>
        <v>Catalog Record</v>
      </c>
      <c r="AT1145" s="6" t="str">
        <f>HYPERLINK("http://www.worldcat.org/oclc/439775","WorldCat Record")</f>
        <v>WorldCat Record</v>
      </c>
      <c r="AU1145" s="3" t="s">
        <v>14310</v>
      </c>
      <c r="AV1145" s="3" t="s">
        <v>14311</v>
      </c>
      <c r="AW1145" s="3" t="s">
        <v>14312</v>
      </c>
      <c r="AX1145" s="3" t="s">
        <v>14312</v>
      </c>
      <c r="AY1145" s="3" t="s">
        <v>14313</v>
      </c>
      <c r="AZ1145" s="3" t="s">
        <v>75</v>
      </c>
      <c r="BC1145" s="3" t="s">
        <v>14314</v>
      </c>
      <c r="BD1145" s="3" t="s">
        <v>14315</v>
      </c>
    </row>
    <row r="1146" spans="1:56" ht="39" customHeight="1" x14ac:dyDescent="0.25">
      <c r="A1146" s="7" t="s">
        <v>58</v>
      </c>
      <c r="B1146" s="2" t="s">
        <v>14316</v>
      </c>
      <c r="C1146" s="2" t="s">
        <v>14317</v>
      </c>
      <c r="D1146" s="2" t="s">
        <v>14318</v>
      </c>
      <c r="F1146" s="3" t="s">
        <v>58</v>
      </c>
      <c r="G1146" s="3" t="s">
        <v>59</v>
      </c>
      <c r="H1146" s="3" t="s">
        <v>58</v>
      </c>
      <c r="I1146" s="3" t="s">
        <v>58</v>
      </c>
      <c r="J1146" s="3" t="s">
        <v>60</v>
      </c>
      <c r="K1146" s="2" t="s">
        <v>14319</v>
      </c>
      <c r="L1146" s="2" t="s">
        <v>14320</v>
      </c>
      <c r="M1146" s="3" t="s">
        <v>98</v>
      </c>
      <c r="O1146" s="3" t="s">
        <v>65</v>
      </c>
      <c r="P1146" s="3" t="s">
        <v>66</v>
      </c>
      <c r="R1146" s="3" t="s">
        <v>68</v>
      </c>
      <c r="S1146" s="4">
        <v>9</v>
      </c>
      <c r="T1146" s="4">
        <v>9</v>
      </c>
      <c r="U1146" s="5" t="s">
        <v>14321</v>
      </c>
      <c r="V1146" s="5" t="s">
        <v>14321</v>
      </c>
      <c r="W1146" s="5" t="s">
        <v>14322</v>
      </c>
      <c r="X1146" s="5" t="s">
        <v>14322</v>
      </c>
      <c r="Y1146" s="4">
        <v>71</v>
      </c>
      <c r="Z1146" s="4">
        <v>58</v>
      </c>
      <c r="AA1146" s="4">
        <v>276</v>
      </c>
      <c r="AB1146" s="4">
        <v>2</v>
      </c>
      <c r="AC1146" s="4">
        <v>5</v>
      </c>
      <c r="AD1146" s="4">
        <v>4</v>
      </c>
      <c r="AE1146" s="4">
        <v>21</v>
      </c>
      <c r="AF1146" s="4">
        <v>2</v>
      </c>
      <c r="AG1146" s="4">
        <v>6</v>
      </c>
      <c r="AH1146" s="4">
        <v>0</v>
      </c>
      <c r="AI1146" s="4">
        <v>4</v>
      </c>
      <c r="AJ1146" s="4">
        <v>3</v>
      </c>
      <c r="AK1146" s="4">
        <v>11</v>
      </c>
      <c r="AL1146" s="4">
        <v>0</v>
      </c>
      <c r="AM1146" s="4">
        <v>3</v>
      </c>
      <c r="AN1146" s="4">
        <v>0</v>
      </c>
      <c r="AO1146" s="4">
        <v>0</v>
      </c>
      <c r="AP1146" s="3" t="s">
        <v>58</v>
      </c>
      <c r="AQ1146" s="3" t="s">
        <v>58</v>
      </c>
      <c r="AS1146" s="6" t="str">
        <f>HYPERLINK("https://creighton-primo.hosted.exlibrisgroup.com/primo-explore/search?tab=default_tab&amp;search_scope=EVERYTHING&amp;vid=01CRU&amp;lang=en_US&amp;offset=0&amp;query=any,contains,991002572869702656","Catalog Record")</f>
        <v>Catalog Record</v>
      </c>
      <c r="AT1146" s="6" t="str">
        <f>HYPERLINK("http://www.worldcat.org/oclc/374140","WorldCat Record")</f>
        <v>WorldCat Record</v>
      </c>
      <c r="AU1146" s="3" t="s">
        <v>14323</v>
      </c>
      <c r="AV1146" s="3" t="s">
        <v>14324</v>
      </c>
      <c r="AW1146" s="3" t="s">
        <v>14325</v>
      </c>
      <c r="AX1146" s="3" t="s">
        <v>14325</v>
      </c>
      <c r="AY1146" s="3" t="s">
        <v>14326</v>
      </c>
      <c r="AZ1146" s="3" t="s">
        <v>75</v>
      </c>
      <c r="BC1146" s="3" t="s">
        <v>14327</v>
      </c>
      <c r="BD1146" s="3" t="s">
        <v>14328</v>
      </c>
    </row>
    <row r="1147" spans="1:56" ht="39" customHeight="1" x14ac:dyDescent="0.25">
      <c r="A1147" s="7" t="s">
        <v>58</v>
      </c>
      <c r="B1147" s="2" t="s">
        <v>14329</v>
      </c>
      <c r="C1147" s="2" t="s">
        <v>14330</v>
      </c>
      <c r="D1147" s="2" t="s">
        <v>14331</v>
      </c>
      <c r="F1147" s="3" t="s">
        <v>58</v>
      </c>
      <c r="G1147" s="3" t="s">
        <v>59</v>
      </c>
      <c r="H1147" s="3" t="s">
        <v>58</v>
      </c>
      <c r="I1147" s="3" t="s">
        <v>58</v>
      </c>
      <c r="J1147" s="3" t="s">
        <v>60</v>
      </c>
      <c r="K1147" s="2" t="s">
        <v>14332</v>
      </c>
      <c r="L1147" s="2" t="s">
        <v>14333</v>
      </c>
      <c r="M1147" s="3" t="s">
        <v>415</v>
      </c>
      <c r="O1147" s="3" t="s">
        <v>65</v>
      </c>
      <c r="P1147" s="3" t="s">
        <v>1345</v>
      </c>
      <c r="R1147" s="3" t="s">
        <v>68</v>
      </c>
      <c r="S1147" s="4">
        <v>3</v>
      </c>
      <c r="T1147" s="4">
        <v>3</v>
      </c>
      <c r="U1147" s="5" t="s">
        <v>14334</v>
      </c>
      <c r="V1147" s="5" t="s">
        <v>14334</v>
      </c>
      <c r="W1147" s="5" t="s">
        <v>13991</v>
      </c>
      <c r="X1147" s="5" t="s">
        <v>13991</v>
      </c>
      <c r="Y1147" s="4">
        <v>317</v>
      </c>
      <c r="Z1147" s="4">
        <v>264</v>
      </c>
      <c r="AA1147" s="4">
        <v>264</v>
      </c>
      <c r="AB1147" s="4">
        <v>2</v>
      </c>
      <c r="AC1147" s="4">
        <v>2</v>
      </c>
      <c r="AD1147" s="4">
        <v>27</v>
      </c>
      <c r="AE1147" s="4">
        <v>27</v>
      </c>
      <c r="AF1147" s="4">
        <v>9</v>
      </c>
      <c r="AG1147" s="4">
        <v>9</v>
      </c>
      <c r="AH1147" s="4">
        <v>5</v>
      </c>
      <c r="AI1147" s="4">
        <v>5</v>
      </c>
      <c r="AJ1147" s="4">
        <v>15</v>
      </c>
      <c r="AK1147" s="4">
        <v>15</v>
      </c>
      <c r="AL1147" s="4">
        <v>1</v>
      </c>
      <c r="AM1147" s="4">
        <v>1</v>
      </c>
      <c r="AN1147" s="4">
        <v>0</v>
      </c>
      <c r="AO1147" s="4">
        <v>0</v>
      </c>
      <c r="AP1147" s="3" t="s">
        <v>58</v>
      </c>
      <c r="AQ1147" s="3" t="s">
        <v>58</v>
      </c>
      <c r="AS1147" s="6" t="str">
        <f>HYPERLINK("https://creighton-primo.hosted.exlibrisgroup.com/primo-explore/search?tab=default_tab&amp;search_scope=EVERYTHING&amp;vid=01CRU&amp;lang=en_US&amp;offset=0&amp;query=any,contains,991004251699702656","Catalog Record")</f>
        <v>Catalog Record</v>
      </c>
      <c r="AT1147" s="6" t="str">
        <f>HYPERLINK("http://www.worldcat.org/oclc/2814929","WorldCat Record")</f>
        <v>WorldCat Record</v>
      </c>
      <c r="AU1147" s="3" t="s">
        <v>14335</v>
      </c>
      <c r="AV1147" s="3" t="s">
        <v>14336</v>
      </c>
      <c r="AW1147" s="3" t="s">
        <v>14337</v>
      </c>
      <c r="AX1147" s="3" t="s">
        <v>14337</v>
      </c>
      <c r="AY1147" s="3" t="s">
        <v>14338</v>
      </c>
      <c r="AZ1147" s="3" t="s">
        <v>75</v>
      </c>
      <c r="BC1147" s="3" t="s">
        <v>14339</v>
      </c>
      <c r="BD1147" s="3" t="s">
        <v>14340</v>
      </c>
    </row>
    <row r="1148" spans="1:56" ht="39" customHeight="1" x14ac:dyDescent="0.25">
      <c r="A1148" s="7" t="s">
        <v>58</v>
      </c>
      <c r="B1148" s="2" t="s">
        <v>14341</v>
      </c>
      <c r="C1148" s="2" t="s">
        <v>14342</v>
      </c>
      <c r="D1148" s="2" t="s">
        <v>14343</v>
      </c>
      <c r="F1148" s="3" t="s">
        <v>58</v>
      </c>
      <c r="G1148" s="3" t="s">
        <v>59</v>
      </c>
      <c r="H1148" s="3" t="s">
        <v>58</v>
      </c>
      <c r="I1148" s="3" t="s">
        <v>58</v>
      </c>
      <c r="J1148" s="3" t="s">
        <v>60</v>
      </c>
      <c r="K1148" s="2" t="s">
        <v>14344</v>
      </c>
      <c r="L1148" s="2" t="s">
        <v>14345</v>
      </c>
      <c r="M1148" s="3" t="s">
        <v>631</v>
      </c>
      <c r="N1148" s="2" t="s">
        <v>14346</v>
      </c>
      <c r="O1148" s="3" t="s">
        <v>65</v>
      </c>
      <c r="P1148" s="3" t="s">
        <v>12607</v>
      </c>
      <c r="Q1148" s="2" t="s">
        <v>14347</v>
      </c>
      <c r="R1148" s="3" t="s">
        <v>68</v>
      </c>
      <c r="S1148" s="4">
        <v>3</v>
      </c>
      <c r="T1148" s="4">
        <v>3</v>
      </c>
      <c r="U1148" s="5" t="s">
        <v>14348</v>
      </c>
      <c r="V1148" s="5" t="s">
        <v>14348</v>
      </c>
      <c r="W1148" s="5" t="s">
        <v>14296</v>
      </c>
      <c r="X1148" s="5" t="s">
        <v>14296</v>
      </c>
      <c r="Y1148" s="4">
        <v>56</v>
      </c>
      <c r="Z1148" s="4">
        <v>37</v>
      </c>
      <c r="AA1148" s="4">
        <v>130</v>
      </c>
      <c r="AB1148" s="4">
        <v>1</v>
      </c>
      <c r="AC1148" s="4">
        <v>2</v>
      </c>
      <c r="AD1148" s="4">
        <v>2</v>
      </c>
      <c r="AE1148" s="4">
        <v>9</v>
      </c>
      <c r="AF1148" s="4">
        <v>0</v>
      </c>
      <c r="AG1148" s="4">
        <v>2</v>
      </c>
      <c r="AH1148" s="4">
        <v>1</v>
      </c>
      <c r="AI1148" s="4">
        <v>3</v>
      </c>
      <c r="AJ1148" s="4">
        <v>2</v>
      </c>
      <c r="AK1148" s="4">
        <v>6</v>
      </c>
      <c r="AL1148" s="4">
        <v>0</v>
      </c>
      <c r="AM1148" s="4">
        <v>1</v>
      </c>
      <c r="AN1148" s="4">
        <v>0</v>
      </c>
      <c r="AO1148" s="4">
        <v>0</v>
      </c>
      <c r="AP1148" s="3" t="s">
        <v>58</v>
      </c>
      <c r="AQ1148" s="3" t="s">
        <v>58</v>
      </c>
      <c r="AS1148" s="6" t="str">
        <f>HYPERLINK("https://creighton-primo.hosted.exlibrisgroup.com/primo-explore/search?tab=default_tab&amp;search_scope=EVERYTHING&amp;vid=01CRU&amp;lang=en_US&amp;offset=0&amp;query=any,contains,991003975449702656","Catalog Record")</f>
        <v>Catalog Record</v>
      </c>
      <c r="AT1148" s="6" t="str">
        <f>HYPERLINK("http://www.worldcat.org/oclc/2003491","WorldCat Record")</f>
        <v>WorldCat Record</v>
      </c>
      <c r="AU1148" s="3" t="s">
        <v>14349</v>
      </c>
      <c r="AV1148" s="3" t="s">
        <v>14350</v>
      </c>
      <c r="AW1148" s="3" t="s">
        <v>14351</v>
      </c>
      <c r="AX1148" s="3" t="s">
        <v>14351</v>
      </c>
      <c r="AY1148" s="3" t="s">
        <v>14352</v>
      </c>
      <c r="AZ1148" s="3" t="s">
        <v>75</v>
      </c>
      <c r="BC1148" s="3" t="s">
        <v>14353</v>
      </c>
      <c r="BD1148" s="3" t="s">
        <v>14354</v>
      </c>
    </row>
    <row r="1149" spans="1:56" ht="39" customHeight="1" x14ac:dyDescent="0.25">
      <c r="A1149" s="7" t="s">
        <v>58</v>
      </c>
      <c r="B1149" s="2" t="s">
        <v>14355</v>
      </c>
      <c r="C1149" s="2" t="s">
        <v>14356</v>
      </c>
      <c r="D1149" s="2" t="s">
        <v>14357</v>
      </c>
      <c r="F1149" s="3" t="s">
        <v>58</v>
      </c>
      <c r="G1149" s="3" t="s">
        <v>59</v>
      </c>
      <c r="H1149" s="3" t="s">
        <v>58</v>
      </c>
      <c r="I1149" s="3" t="s">
        <v>58</v>
      </c>
      <c r="J1149" s="3" t="s">
        <v>60</v>
      </c>
      <c r="K1149" s="2" t="s">
        <v>1634</v>
      </c>
      <c r="L1149" s="2" t="s">
        <v>14358</v>
      </c>
      <c r="M1149" s="3" t="s">
        <v>303</v>
      </c>
      <c r="O1149" s="3" t="s">
        <v>65</v>
      </c>
      <c r="P1149" s="3" t="s">
        <v>201</v>
      </c>
      <c r="R1149" s="3" t="s">
        <v>68</v>
      </c>
      <c r="S1149" s="4">
        <v>8</v>
      </c>
      <c r="T1149" s="4">
        <v>8</v>
      </c>
      <c r="U1149" s="5" t="s">
        <v>1636</v>
      </c>
      <c r="V1149" s="5" t="s">
        <v>1636</v>
      </c>
      <c r="W1149" s="5" t="s">
        <v>2907</v>
      </c>
      <c r="X1149" s="5" t="s">
        <v>2907</v>
      </c>
      <c r="Y1149" s="4">
        <v>420</v>
      </c>
      <c r="Z1149" s="4">
        <v>350</v>
      </c>
      <c r="AA1149" s="4">
        <v>355</v>
      </c>
      <c r="AB1149" s="4">
        <v>5</v>
      </c>
      <c r="AC1149" s="4">
        <v>5</v>
      </c>
      <c r="AD1149" s="4">
        <v>31</v>
      </c>
      <c r="AE1149" s="4">
        <v>31</v>
      </c>
      <c r="AF1149" s="4">
        <v>10</v>
      </c>
      <c r="AG1149" s="4">
        <v>10</v>
      </c>
      <c r="AH1149" s="4">
        <v>8</v>
      </c>
      <c r="AI1149" s="4">
        <v>8</v>
      </c>
      <c r="AJ1149" s="4">
        <v>21</v>
      </c>
      <c r="AK1149" s="4">
        <v>21</v>
      </c>
      <c r="AL1149" s="4">
        <v>3</v>
      </c>
      <c r="AM1149" s="4">
        <v>3</v>
      </c>
      <c r="AN1149" s="4">
        <v>0</v>
      </c>
      <c r="AO1149" s="4">
        <v>0</v>
      </c>
      <c r="AP1149" s="3" t="s">
        <v>58</v>
      </c>
      <c r="AQ1149" s="3" t="s">
        <v>58</v>
      </c>
      <c r="AS1149" s="6" t="str">
        <f>HYPERLINK("https://creighton-primo.hosted.exlibrisgroup.com/primo-explore/search?tab=default_tab&amp;search_scope=EVERYTHING&amp;vid=01CRU&amp;lang=en_US&amp;offset=0&amp;query=any,contains,991003975529702656","Catalog Record")</f>
        <v>Catalog Record</v>
      </c>
      <c r="AT1149" s="6" t="str">
        <f>HYPERLINK("http://www.worldcat.org/oclc/2004501","WorldCat Record")</f>
        <v>WorldCat Record</v>
      </c>
      <c r="AU1149" s="3" t="s">
        <v>14359</v>
      </c>
      <c r="AV1149" s="3" t="s">
        <v>14360</v>
      </c>
      <c r="AW1149" s="3" t="s">
        <v>14361</v>
      </c>
      <c r="AX1149" s="3" t="s">
        <v>14361</v>
      </c>
      <c r="AY1149" s="3" t="s">
        <v>14362</v>
      </c>
      <c r="AZ1149" s="3" t="s">
        <v>75</v>
      </c>
      <c r="BB1149" s="3" t="s">
        <v>14363</v>
      </c>
      <c r="BC1149" s="3" t="s">
        <v>14364</v>
      </c>
      <c r="BD1149" s="3" t="s">
        <v>14365</v>
      </c>
    </row>
    <row r="1150" spans="1:56" ht="39" customHeight="1" x14ac:dyDescent="0.25">
      <c r="A1150" s="7" t="s">
        <v>58</v>
      </c>
      <c r="B1150" s="2" t="s">
        <v>14366</v>
      </c>
      <c r="C1150" s="2" t="s">
        <v>14367</v>
      </c>
      <c r="D1150" s="2" t="s">
        <v>14368</v>
      </c>
      <c r="F1150" s="3" t="s">
        <v>58</v>
      </c>
      <c r="G1150" s="3" t="s">
        <v>59</v>
      </c>
      <c r="H1150" s="3" t="s">
        <v>58</v>
      </c>
      <c r="I1150" s="3" t="s">
        <v>58</v>
      </c>
      <c r="J1150" s="3" t="s">
        <v>60</v>
      </c>
      <c r="K1150" s="2" t="s">
        <v>3516</v>
      </c>
      <c r="L1150" s="2" t="s">
        <v>14369</v>
      </c>
      <c r="M1150" s="3" t="s">
        <v>318</v>
      </c>
      <c r="O1150" s="3" t="s">
        <v>65</v>
      </c>
      <c r="P1150" s="3" t="s">
        <v>967</v>
      </c>
      <c r="R1150" s="3" t="s">
        <v>68</v>
      </c>
      <c r="S1150" s="4">
        <v>1</v>
      </c>
      <c r="T1150" s="4">
        <v>1</v>
      </c>
      <c r="U1150" s="5" t="s">
        <v>14370</v>
      </c>
      <c r="V1150" s="5" t="s">
        <v>14370</v>
      </c>
      <c r="W1150" s="5" t="s">
        <v>14370</v>
      </c>
      <c r="X1150" s="5" t="s">
        <v>14370</v>
      </c>
      <c r="Y1150" s="4">
        <v>142</v>
      </c>
      <c r="Z1150" s="4">
        <v>123</v>
      </c>
      <c r="AA1150" s="4">
        <v>129</v>
      </c>
      <c r="AB1150" s="4">
        <v>1</v>
      </c>
      <c r="AC1150" s="4">
        <v>1</v>
      </c>
      <c r="AD1150" s="4">
        <v>13</v>
      </c>
      <c r="AE1150" s="4">
        <v>13</v>
      </c>
      <c r="AF1150" s="4">
        <v>4</v>
      </c>
      <c r="AG1150" s="4">
        <v>4</v>
      </c>
      <c r="AH1150" s="4">
        <v>3</v>
      </c>
      <c r="AI1150" s="4">
        <v>3</v>
      </c>
      <c r="AJ1150" s="4">
        <v>9</v>
      </c>
      <c r="AK1150" s="4">
        <v>9</v>
      </c>
      <c r="AL1150" s="4">
        <v>0</v>
      </c>
      <c r="AM1150" s="4">
        <v>0</v>
      </c>
      <c r="AN1150" s="4">
        <v>0</v>
      </c>
      <c r="AO1150" s="4">
        <v>0</v>
      </c>
      <c r="AP1150" s="3" t="s">
        <v>58</v>
      </c>
      <c r="AQ1150" s="3" t="s">
        <v>132</v>
      </c>
      <c r="AR1150" s="6" t="str">
        <f>HYPERLINK("http://catalog.hathitrust.org/Record/005993725","HathiTrust Record")</f>
        <v>HathiTrust Record</v>
      </c>
      <c r="AS1150" s="6" t="str">
        <f>HYPERLINK("https://creighton-primo.hosted.exlibrisgroup.com/primo-explore/search?tab=default_tab&amp;search_scope=EVERYTHING&amp;vid=01CRU&amp;lang=en_US&amp;offset=0&amp;query=any,contains,991005153359702656","Catalog Record")</f>
        <v>Catalog Record</v>
      </c>
      <c r="AT1150" s="6" t="str">
        <f>HYPERLINK("http://www.worldcat.org/oclc/38390935","WorldCat Record")</f>
        <v>WorldCat Record</v>
      </c>
      <c r="AU1150" s="3" t="s">
        <v>14371</v>
      </c>
      <c r="AV1150" s="3" t="s">
        <v>14372</v>
      </c>
      <c r="AW1150" s="3" t="s">
        <v>14373</v>
      </c>
      <c r="AX1150" s="3" t="s">
        <v>14373</v>
      </c>
      <c r="AY1150" s="3" t="s">
        <v>14374</v>
      </c>
      <c r="AZ1150" s="3" t="s">
        <v>75</v>
      </c>
      <c r="BB1150" s="3" t="s">
        <v>14375</v>
      </c>
      <c r="BC1150" s="3" t="s">
        <v>14376</v>
      </c>
      <c r="BD1150" s="3" t="s">
        <v>14377</v>
      </c>
    </row>
    <row r="1151" spans="1:56" ht="39" customHeight="1" x14ac:dyDescent="0.25">
      <c r="A1151" s="7" t="s">
        <v>58</v>
      </c>
      <c r="B1151" s="2" t="s">
        <v>14378</v>
      </c>
      <c r="C1151" s="2" t="s">
        <v>14379</v>
      </c>
      <c r="D1151" s="2" t="s">
        <v>14380</v>
      </c>
      <c r="F1151" s="3" t="s">
        <v>58</v>
      </c>
      <c r="G1151" s="3" t="s">
        <v>59</v>
      </c>
      <c r="H1151" s="3" t="s">
        <v>58</v>
      </c>
      <c r="I1151" s="3" t="s">
        <v>58</v>
      </c>
      <c r="J1151" s="3" t="s">
        <v>60</v>
      </c>
      <c r="K1151" s="2" t="s">
        <v>14381</v>
      </c>
      <c r="L1151" s="2" t="s">
        <v>14382</v>
      </c>
      <c r="M1151" s="3" t="s">
        <v>631</v>
      </c>
      <c r="O1151" s="3" t="s">
        <v>9238</v>
      </c>
      <c r="P1151" s="3" t="s">
        <v>9239</v>
      </c>
      <c r="Q1151" s="2" t="s">
        <v>14383</v>
      </c>
      <c r="R1151" s="3" t="s">
        <v>68</v>
      </c>
      <c r="S1151" s="4">
        <v>0</v>
      </c>
      <c r="T1151" s="4">
        <v>0</v>
      </c>
      <c r="U1151" s="5" t="s">
        <v>14384</v>
      </c>
      <c r="V1151" s="5" t="s">
        <v>14384</v>
      </c>
      <c r="W1151" s="5" t="s">
        <v>14385</v>
      </c>
      <c r="X1151" s="5" t="s">
        <v>14385</v>
      </c>
      <c r="Y1151" s="4">
        <v>105</v>
      </c>
      <c r="Z1151" s="4">
        <v>62</v>
      </c>
      <c r="AA1151" s="4">
        <v>64</v>
      </c>
      <c r="AB1151" s="4">
        <v>1</v>
      </c>
      <c r="AC1151" s="4">
        <v>1</v>
      </c>
      <c r="AD1151" s="4">
        <v>5</v>
      </c>
      <c r="AE1151" s="4">
        <v>5</v>
      </c>
      <c r="AF1151" s="4">
        <v>0</v>
      </c>
      <c r="AG1151" s="4">
        <v>0</v>
      </c>
      <c r="AH1151" s="4">
        <v>2</v>
      </c>
      <c r="AI1151" s="4">
        <v>2</v>
      </c>
      <c r="AJ1151" s="4">
        <v>4</v>
      </c>
      <c r="AK1151" s="4">
        <v>4</v>
      </c>
      <c r="AL1151" s="4">
        <v>0</v>
      </c>
      <c r="AM1151" s="4">
        <v>0</v>
      </c>
      <c r="AN1151" s="4">
        <v>0</v>
      </c>
      <c r="AO1151" s="4">
        <v>0</v>
      </c>
      <c r="AP1151" s="3" t="s">
        <v>58</v>
      </c>
      <c r="AQ1151" s="3" t="s">
        <v>132</v>
      </c>
      <c r="AR1151" s="6" t="str">
        <f>HYPERLINK("http://catalog.hathitrust.org/Record/000701332","HathiTrust Record")</f>
        <v>HathiTrust Record</v>
      </c>
      <c r="AS1151" s="6" t="str">
        <f>HYPERLINK("https://creighton-primo.hosted.exlibrisgroup.com/primo-explore/search?tab=default_tab&amp;search_scope=EVERYTHING&amp;vid=01CRU&amp;lang=en_US&amp;offset=0&amp;query=any,contains,991004001029702656","Catalog Record")</f>
        <v>Catalog Record</v>
      </c>
      <c r="AT1151" s="6" t="str">
        <f>HYPERLINK("http://www.worldcat.org/oclc/2073364","WorldCat Record")</f>
        <v>WorldCat Record</v>
      </c>
      <c r="AU1151" s="3" t="s">
        <v>14386</v>
      </c>
      <c r="AV1151" s="3" t="s">
        <v>14387</v>
      </c>
      <c r="AW1151" s="3" t="s">
        <v>14388</v>
      </c>
      <c r="AX1151" s="3" t="s">
        <v>14388</v>
      </c>
      <c r="AY1151" s="3" t="s">
        <v>14389</v>
      </c>
      <c r="AZ1151" s="3" t="s">
        <v>75</v>
      </c>
      <c r="BB1151" s="3" t="s">
        <v>14390</v>
      </c>
      <c r="BC1151" s="3" t="s">
        <v>14391</v>
      </c>
      <c r="BD1151" s="3" t="s">
        <v>14392</v>
      </c>
    </row>
    <row r="1152" spans="1:56" ht="39" customHeight="1" x14ac:dyDescent="0.25">
      <c r="A1152" s="7" t="s">
        <v>58</v>
      </c>
      <c r="B1152" s="2" t="s">
        <v>14393</v>
      </c>
      <c r="C1152" s="2" t="s">
        <v>14394</v>
      </c>
      <c r="D1152" s="2" t="s">
        <v>14395</v>
      </c>
      <c r="F1152" s="3" t="s">
        <v>58</v>
      </c>
      <c r="G1152" s="3" t="s">
        <v>59</v>
      </c>
      <c r="H1152" s="3" t="s">
        <v>58</v>
      </c>
      <c r="I1152" s="3" t="s">
        <v>58</v>
      </c>
      <c r="J1152" s="3" t="s">
        <v>60</v>
      </c>
      <c r="K1152" s="2" t="s">
        <v>14396</v>
      </c>
      <c r="L1152" s="2" t="s">
        <v>14397</v>
      </c>
      <c r="M1152" s="3" t="s">
        <v>1150</v>
      </c>
      <c r="O1152" s="3" t="s">
        <v>65</v>
      </c>
      <c r="P1152" s="3" t="s">
        <v>186</v>
      </c>
      <c r="Q1152" s="2" t="s">
        <v>14398</v>
      </c>
      <c r="R1152" s="3" t="s">
        <v>68</v>
      </c>
      <c r="S1152" s="4">
        <v>5</v>
      </c>
      <c r="T1152" s="4">
        <v>5</v>
      </c>
      <c r="U1152" s="5" t="s">
        <v>14399</v>
      </c>
      <c r="V1152" s="5" t="s">
        <v>14399</v>
      </c>
      <c r="W1152" s="5" t="s">
        <v>14400</v>
      </c>
      <c r="X1152" s="5" t="s">
        <v>14400</v>
      </c>
      <c r="Y1152" s="4">
        <v>152</v>
      </c>
      <c r="Z1152" s="4">
        <v>108</v>
      </c>
      <c r="AA1152" s="4">
        <v>108</v>
      </c>
      <c r="AB1152" s="4">
        <v>1</v>
      </c>
      <c r="AC1152" s="4">
        <v>1</v>
      </c>
      <c r="AD1152" s="4">
        <v>8</v>
      </c>
      <c r="AE1152" s="4">
        <v>8</v>
      </c>
      <c r="AF1152" s="4">
        <v>3</v>
      </c>
      <c r="AG1152" s="4">
        <v>3</v>
      </c>
      <c r="AH1152" s="4">
        <v>3</v>
      </c>
      <c r="AI1152" s="4">
        <v>3</v>
      </c>
      <c r="AJ1152" s="4">
        <v>5</v>
      </c>
      <c r="AK1152" s="4">
        <v>5</v>
      </c>
      <c r="AL1152" s="4">
        <v>0</v>
      </c>
      <c r="AM1152" s="4">
        <v>0</v>
      </c>
      <c r="AN1152" s="4">
        <v>0</v>
      </c>
      <c r="AO1152" s="4">
        <v>0</v>
      </c>
      <c r="AP1152" s="3" t="s">
        <v>58</v>
      </c>
      <c r="AQ1152" s="3" t="s">
        <v>58</v>
      </c>
      <c r="AS1152" s="6" t="str">
        <f>HYPERLINK("https://creighton-primo.hosted.exlibrisgroup.com/primo-explore/search?tab=default_tab&amp;search_scope=EVERYTHING&amp;vid=01CRU&amp;lang=en_US&amp;offset=0&amp;query=any,contains,991002477869702656","Catalog Record")</f>
        <v>Catalog Record</v>
      </c>
      <c r="AT1152" s="6" t="str">
        <f>HYPERLINK("http://www.worldcat.org/oclc/32272480","WorldCat Record")</f>
        <v>WorldCat Record</v>
      </c>
      <c r="AU1152" s="3" t="s">
        <v>14401</v>
      </c>
      <c r="AV1152" s="3" t="s">
        <v>14402</v>
      </c>
      <c r="AW1152" s="3" t="s">
        <v>14403</v>
      </c>
      <c r="AX1152" s="3" t="s">
        <v>14403</v>
      </c>
      <c r="AY1152" s="3" t="s">
        <v>14404</v>
      </c>
      <c r="AZ1152" s="3" t="s">
        <v>75</v>
      </c>
      <c r="BB1152" s="3" t="s">
        <v>14405</v>
      </c>
      <c r="BC1152" s="3" t="s">
        <v>14406</v>
      </c>
      <c r="BD1152" s="3" t="s">
        <v>14407</v>
      </c>
    </row>
    <row r="1153" spans="1:56" ht="39" customHeight="1" x14ac:dyDescent="0.25">
      <c r="A1153" s="7" t="s">
        <v>58</v>
      </c>
      <c r="B1153" s="2" t="s">
        <v>14408</v>
      </c>
      <c r="C1153" s="2" t="s">
        <v>14409</v>
      </c>
      <c r="D1153" s="2" t="s">
        <v>14410</v>
      </c>
      <c r="F1153" s="3" t="s">
        <v>58</v>
      </c>
      <c r="G1153" s="3" t="s">
        <v>59</v>
      </c>
      <c r="H1153" s="3" t="s">
        <v>58</v>
      </c>
      <c r="I1153" s="3" t="s">
        <v>132</v>
      </c>
      <c r="J1153" s="3" t="s">
        <v>60</v>
      </c>
      <c r="K1153" s="2" t="s">
        <v>14411</v>
      </c>
      <c r="L1153" s="2" t="s">
        <v>14412</v>
      </c>
      <c r="M1153" s="3" t="s">
        <v>709</v>
      </c>
      <c r="O1153" s="3" t="s">
        <v>65</v>
      </c>
      <c r="P1153" s="3" t="s">
        <v>11290</v>
      </c>
      <c r="R1153" s="3" t="s">
        <v>68</v>
      </c>
      <c r="S1153" s="4">
        <v>2</v>
      </c>
      <c r="T1153" s="4">
        <v>2</v>
      </c>
      <c r="U1153" s="5" t="s">
        <v>8164</v>
      </c>
      <c r="V1153" s="5" t="s">
        <v>8164</v>
      </c>
      <c r="W1153" s="5" t="s">
        <v>14413</v>
      </c>
      <c r="X1153" s="5" t="s">
        <v>14413</v>
      </c>
      <c r="Y1153" s="4">
        <v>139</v>
      </c>
      <c r="Z1153" s="4">
        <v>90</v>
      </c>
      <c r="AA1153" s="4">
        <v>225</v>
      </c>
      <c r="AB1153" s="4">
        <v>2</v>
      </c>
      <c r="AC1153" s="4">
        <v>4</v>
      </c>
      <c r="AD1153" s="4">
        <v>10</v>
      </c>
      <c r="AE1153" s="4">
        <v>19</v>
      </c>
      <c r="AF1153" s="4">
        <v>2</v>
      </c>
      <c r="AG1153" s="4">
        <v>6</v>
      </c>
      <c r="AH1153" s="4">
        <v>4</v>
      </c>
      <c r="AI1153" s="4">
        <v>5</v>
      </c>
      <c r="AJ1153" s="4">
        <v>5</v>
      </c>
      <c r="AK1153" s="4">
        <v>8</v>
      </c>
      <c r="AL1153" s="4">
        <v>1</v>
      </c>
      <c r="AM1153" s="4">
        <v>3</v>
      </c>
      <c r="AN1153" s="4">
        <v>0</v>
      </c>
      <c r="AO1153" s="4">
        <v>0</v>
      </c>
      <c r="AP1153" s="3" t="s">
        <v>58</v>
      </c>
      <c r="AQ1153" s="3" t="s">
        <v>58</v>
      </c>
      <c r="AS1153" s="6" t="str">
        <f>HYPERLINK("https://creighton-primo.hosted.exlibrisgroup.com/primo-explore/search?tab=default_tab&amp;search_scope=EVERYTHING&amp;vid=01CRU&amp;lang=en_US&amp;offset=0&amp;query=any,contains,991001902319702656","Catalog Record")</f>
        <v>Catalog Record</v>
      </c>
      <c r="AT1153" s="6" t="str">
        <f>HYPERLINK("http://www.worldcat.org/oclc/27598186","WorldCat Record")</f>
        <v>WorldCat Record</v>
      </c>
      <c r="AU1153" s="3" t="s">
        <v>14414</v>
      </c>
      <c r="AV1153" s="3" t="s">
        <v>14415</v>
      </c>
      <c r="AW1153" s="3" t="s">
        <v>14416</v>
      </c>
      <c r="AX1153" s="3" t="s">
        <v>14416</v>
      </c>
      <c r="AY1153" s="3" t="s">
        <v>14417</v>
      </c>
      <c r="AZ1153" s="3" t="s">
        <v>75</v>
      </c>
      <c r="BB1153" s="3" t="s">
        <v>14418</v>
      </c>
      <c r="BC1153" s="3" t="s">
        <v>14419</v>
      </c>
      <c r="BD1153" s="3" t="s">
        <v>14420</v>
      </c>
    </row>
    <row r="1154" spans="1:56" ht="39" customHeight="1" x14ac:dyDescent="0.25">
      <c r="A1154" s="7" t="s">
        <v>58</v>
      </c>
      <c r="B1154" s="2" t="s">
        <v>14421</v>
      </c>
      <c r="C1154" s="2" t="s">
        <v>14422</v>
      </c>
      <c r="D1154" s="2" t="s">
        <v>14423</v>
      </c>
      <c r="F1154" s="3" t="s">
        <v>58</v>
      </c>
      <c r="G1154" s="3" t="s">
        <v>59</v>
      </c>
      <c r="H1154" s="3" t="s">
        <v>58</v>
      </c>
      <c r="I1154" s="3" t="s">
        <v>58</v>
      </c>
      <c r="J1154" s="3" t="s">
        <v>60</v>
      </c>
      <c r="K1154" s="2" t="s">
        <v>14424</v>
      </c>
      <c r="L1154" s="2" t="s">
        <v>14425</v>
      </c>
      <c r="M1154" s="3" t="s">
        <v>2418</v>
      </c>
      <c r="O1154" s="3" t="s">
        <v>65</v>
      </c>
      <c r="P1154" s="3" t="s">
        <v>84</v>
      </c>
      <c r="Q1154" s="2" t="s">
        <v>14426</v>
      </c>
      <c r="R1154" s="3" t="s">
        <v>68</v>
      </c>
      <c r="S1154" s="4">
        <v>0</v>
      </c>
      <c r="T1154" s="4">
        <v>0</v>
      </c>
      <c r="U1154" s="5" t="s">
        <v>9129</v>
      </c>
      <c r="V1154" s="5" t="s">
        <v>9129</v>
      </c>
      <c r="W1154" s="5" t="s">
        <v>14385</v>
      </c>
      <c r="X1154" s="5" t="s">
        <v>14385</v>
      </c>
      <c r="Y1154" s="4">
        <v>348</v>
      </c>
      <c r="Z1154" s="4">
        <v>277</v>
      </c>
      <c r="AA1154" s="4">
        <v>298</v>
      </c>
      <c r="AB1154" s="4">
        <v>2</v>
      </c>
      <c r="AC1154" s="4">
        <v>2</v>
      </c>
      <c r="AD1154" s="4">
        <v>12</v>
      </c>
      <c r="AE1154" s="4">
        <v>14</v>
      </c>
      <c r="AF1154" s="4">
        <v>2</v>
      </c>
      <c r="AG1154" s="4">
        <v>3</v>
      </c>
      <c r="AH1154" s="4">
        <v>3</v>
      </c>
      <c r="AI1154" s="4">
        <v>3</v>
      </c>
      <c r="AJ1154" s="4">
        <v>9</v>
      </c>
      <c r="AK1154" s="4">
        <v>10</v>
      </c>
      <c r="AL1154" s="4">
        <v>1</v>
      </c>
      <c r="AM1154" s="4">
        <v>1</v>
      </c>
      <c r="AN1154" s="4">
        <v>0</v>
      </c>
      <c r="AO1154" s="4">
        <v>0</v>
      </c>
      <c r="AP1154" s="3" t="s">
        <v>58</v>
      </c>
      <c r="AQ1154" s="3" t="s">
        <v>132</v>
      </c>
      <c r="AR1154" s="6" t="str">
        <f>HYPERLINK("http://catalog.hathitrust.org/Record/004488993","HathiTrust Record")</f>
        <v>HathiTrust Record</v>
      </c>
      <c r="AS1154" s="6" t="str">
        <f>HYPERLINK("https://creighton-primo.hosted.exlibrisgroup.com/primo-explore/search?tab=default_tab&amp;search_scope=EVERYTHING&amp;vid=01CRU&amp;lang=en_US&amp;offset=0&amp;query=any,contains,991003922409702656","Catalog Record")</f>
        <v>Catalog Record</v>
      </c>
      <c r="AT1154" s="6" t="str">
        <f>HYPERLINK("http://www.worldcat.org/oclc/1874117","WorldCat Record")</f>
        <v>WorldCat Record</v>
      </c>
      <c r="AU1154" s="3" t="s">
        <v>14427</v>
      </c>
      <c r="AV1154" s="3" t="s">
        <v>14428</v>
      </c>
      <c r="AW1154" s="3" t="s">
        <v>14429</v>
      </c>
      <c r="AX1154" s="3" t="s">
        <v>14429</v>
      </c>
      <c r="AY1154" s="3" t="s">
        <v>14430</v>
      </c>
      <c r="AZ1154" s="3" t="s">
        <v>75</v>
      </c>
      <c r="BC1154" s="3" t="s">
        <v>14431</v>
      </c>
      <c r="BD1154" s="3" t="s">
        <v>14432</v>
      </c>
    </row>
    <row r="1155" spans="1:56" ht="39" customHeight="1" x14ac:dyDescent="0.25">
      <c r="A1155" s="7" t="s">
        <v>58</v>
      </c>
      <c r="B1155" s="2" t="s">
        <v>14433</v>
      </c>
      <c r="C1155" s="2" t="s">
        <v>14434</v>
      </c>
      <c r="D1155" s="2" t="s">
        <v>14435</v>
      </c>
      <c r="F1155" s="3" t="s">
        <v>58</v>
      </c>
      <c r="G1155" s="3" t="s">
        <v>59</v>
      </c>
      <c r="H1155" s="3" t="s">
        <v>58</v>
      </c>
      <c r="I1155" s="3" t="s">
        <v>58</v>
      </c>
      <c r="J1155" s="3" t="s">
        <v>60</v>
      </c>
      <c r="K1155" s="2" t="s">
        <v>4588</v>
      </c>
      <c r="L1155" s="2" t="s">
        <v>14436</v>
      </c>
      <c r="M1155" s="3" t="s">
        <v>157</v>
      </c>
      <c r="O1155" s="3" t="s">
        <v>65</v>
      </c>
      <c r="P1155" s="3" t="s">
        <v>230</v>
      </c>
      <c r="R1155" s="3" t="s">
        <v>68</v>
      </c>
      <c r="S1155" s="4">
        <v>4</v>
      </c>
      <c r="T1155" s="4">
        <v>4</v>
      </c>
      <c r="U1155" s="5" t="s">
        <v>8788</v>
      </c>
      <c r="V1155" s="5" t="s">
        <v>8788</v>
      </c>
      <c r="W1155" s="5" t="s">
        <v>14385</v>
      </c>
      <c r="X1155" s="5" t="s">
        <v>14385</v>
      </c>
      <c r="Y1155" s="4">
        <v>406</v>
      </c>
      <c r="Z1155" s="4">
        <v>366</v>
      </c>
      <c r="AA1155" s="4">
        <v>367</v>
      </c>
      <c r="AB1155" s="4">
        <v>2</v>
      </c>
      <c r="AC1155" s="4">
        <v>2</v>
      </c>
      <c r="AD1155" s="4">
        <v>17</v>
      </c>
      <c r="AE1155" s="4">
        <v>17</v>
      </c>
      <c r="AF1155" s="4">
        <v>7</v>
      </c>
      <c r="AG1155" s="4">
        <v>7</v>
      </c>
      <c r="AH1155" s="4">
        <v>5</v>
      </c>
      <c r="AI1155" s="4">
        <v>5</v>
      </c>
      <c r="AJ1155" s="4">
        <v>9</v>
      </c>
      <c r="AK1155" s="4">
        <v>9</v>
      </c>
      <c r="AL1155" s="4">
        <v>1</v>
      </c>
      <c r="AM1155" s="4">
        <v>1</v>
      </c>
      <c r="AN1155" s="4">
        <v>0</v>
      </c>
      <c r="AO1155" s="4">
        <v>0</v>
      </c>
      <c r="AP1155" s="3" t="s">
        <v>58</v>
      </c>
      <c r="AQ1155" s="3" t="s">
        <v>58</v>
      </c>
      <c r="AS1155" s="6" t="str">
        <f>HYPERLINK("https://creighton-primo.hosted.exlibrisgroup.com/primo-explore/search?tab=default_tab&amp;search_scope=EVERYTHING&amp;vid=01CRU&amp;lang=en_US&amp;offset=0&amp;query=any,contains,991005211829702656","Catalog Record")</f>
        <v>Catalog Record</v>
      </c>
      <c r="AT1155" s="6" t="str">
        <f>HYPERLINK("http://www.worldcat.org/oclc/8169880","WorldCat Record")</f>
        <v>WorldCat Record</v>
      </c>
      <c r="AU1155" s="3" t="s">
        <v>14437</v>
      </c>
      <c r="AV1155" s="3" t="s">
        <v>14438</v>
      </c>
      <c r="AW1155" s="3" t="s">
        <v>14439</v>
      </c>
      <c r="AX1155" s="3" t="s">
        <v>14439</v>
      </c>
      <c r="AY1155" s="3" t="s">
        <v>14440</v>
      </c>
      <c r="AZ1155" s="3" t="s">
        <v>75</v>
      </c>
      <c r="BB1155" s="3" t="s">
        <v>14441</v>
      </c>
      <c r="BC1155" s="3" t="s">
        <v>14442</v>
      </c>
      <c r="BD1155" s="3" t="s">
        <v>14443</v>
      </c>
    </row>
    <row r="1156" spans="1:56" ht="39" customHeight="1" x14ac:dyDescent="0.25">
      <c r="A1156" s="7" t="s">
        <v>58</v>
      </c>
      <c r="B1156" s="2" t="s">
        <v>14444</v>
      </c>
      <c r="C1156" s="2" t="s">
        <v>14445</v>
      </c>
      <c r="D1156" s="2" t="s">
        <v>14446</v>
      </c>
      <c r="F1156" s="3" t="s">
        <v>58</v>
      </c>
      <c r="G1156" s="3" t="s">
        <v>59</v>
      </c>
      <c r="H1156" s="3" t="s">
        <v>58</v>
      </c>
      <c r="I1156" s="3" t="s">
        <v>58</v>
      </c>
      <c r="J1156" s="3" t="s">
        <v>60</v>
      </c>
      <c r="K1156" s="2" t="s">
        <v>12484</v>
      </c>
      <c r="L1156" s="2" t="s">
        <v>14447</v>
      </c>
      <c r="M1156" s="3" t="s">
        <v>83</v>
      </c>
      <c r="O1156" s="3" t="s">
        <v>65</v>
      </c>
      <c r="P1156" s="3" t="s">
        <v>84</v>
      </c>
      <c r="Q1156" s="2" t="s">
        <v>14448</v>
      </c>
      <c r="R1156" s="3" t="s">
        <v>68</v>
      </c>
      <c r="S1156" s="4">
        <v>3</v>
      </c>
      <c r="T1156" s="4">
        <v>3</v>
      </c>
      <c r="U1156" s="5" t="s">
        <v>2081</v>
      </c>
      <c r="V1156" s="5" t="s">
        <v>2081</v>
      </c>
      <c r="W1156" s="5" t="s">
        <v>607</v>
      </c>
      <c r="X1156" s="5" t="s">
        <v>607</v>
      </c>
      <c r="Y1156" s="4">
        <v>266</v>
      </c>
      <c r="Z1156" s="4">
        <v>230</v>
      </c>
      <c r="AA1156" s="4">
        <v>230</v>
      </c>
      <c r="AB1156" s="4">
        <v>2</v>
      </c>
      <c r="AC1156" s="4">
        <v>2</v>
      </c>
      <c r="AD1156" s="4">
        <v>17</v>
      </c>
      <c r="AE1156" s="4">
        <v>17</v>
      </c>
      <c r="AF1156" s="4">
        <v>6</v>
      </c>
      <c r="AG1156" s="4">
        <v>6</v>
      </c>
      <c r="AH1156" s="4">
        <v>4</v>
      </c>
      <c r="AI1156" s="4">
        <v>4</v>
      </c>
      <c r="AJ1156" s="4">
        <v>10</v>
      </c>
      <c r="AK1156" s="4">
        <v>10</v>
      </c>
      <c r="AL1156" s="4">
        <v>1</v>
      </c>
      <c r="AM1156" s="4">
        <v>1</v>
      </c>
      <c r="AN1156" s="4">
        <v>0</v>
      </c>
      <c r="AO1156" s="4">
        <v>0</v>
      </c>
      <c r="AP1156" s="3" t="s">
        <v>58</v>
      </c>
      <c r="AQ1156" s="3" t="s">
        <v>58</v>
      </c>
      <c r="AS1156" s="6" t="str">
        <f>HYPERLINK("https://creighton-primo.hosted.exlibrisgroup.com/primo-explore/search?tab=default_tab&amp;search_scope=EVERYTHING&amp;vid=01CRU&amp;lang=en_US&amp;offset=0&amp;query=any,contains,991002410349702656","Catalog Record")</f>
        <v>Catalog Record</v>
      </c>
      <c r="AT1156" s="6" t="str">
        <f>HYPERLINK("http://www.worldcat.org/oclc/339353","WorldCat Record")</f>
        <v>WorldCat Record</v>
      </c>
      <c r="AU1156" s="3" t="s">
        <v>14449</v>
      </c>
      <c r="AV1156" s="3" t="s">
        <v>14450</v>
      </c>
      <c r="AW1156" s="3" t="s">
        <v>14451</v>
      </c>
      <c r="AX1156" s="3" t="s">
        <v>14451</v>
      </c>
      <c r="AY1156" s="3" t="s">
        <v>14452</v>
      </c>
      <c r="AZ1156" s="3" t="s">
        <v>75</v>
      </c>
      <c r="BC1156" s="3" t="s">
        <v>14453</v>
      </c>
      <c r="BD1156" s="3" t="s">
        <v>14454</v>
      </c>
    </row>
    <row r="1157" spans="1:56" ht="39" customHeight="1" x14ac:dyDescent="0.25">
      <c r="A1157" s="7" t="s">
        <v>58</v>
      </c>
      <c r="B1157" s="2" t="s">
        <v>14455</v>
      </c>
      <c r="C1157" s="2" t="s">
        <v>14456</v>
      </c>
      <c r="D1157" s="2" t="s">
        <v>14457</v>
      </c>
      <c r="F1157" s="3" t="s">
        <v>58</v>
      </c>
      <c r="G1157" s="3" t="s">
        <v>59</v>
      </c>
      <c r="H1157" s="3" t="s">
        <v>58</v>
      </c>
      <c r="I1157" s="3" t="s">
        <v>58</v>
      </c>
      <c r="J1157" s="3" t="s">
        <v>60</v>
      </c>
      <c r="K1157" s="2" t="s">
        <v>110</v>
      </c>
      <c r="L1157" s="2" t="s">
        <v>14458</v>
      </c>
      <c r="M1157" s="3" t="s">
        <v>1046</v>
      </c>
      <c r="O1157" s="3" t="s">
        <v>65</v>
      </c>
      <c r="P1157" s="3" t="s">
        <v>186</v>
      </c>
      <c r="R1157" s="3" t="s">
        <v>68</v>
      </c>
      <c r="S1157" s="4">
        <v>6</v>
      </c>
      <c r="T1157" s="4">
        <v>6</v>
      </c>
      <c r="U1157" s="5" t="s">
        <v>8788</v>
      </c>
      <c r="V1157" s="5" t="s">
        <v>8788</v>
      </c>
      <c r="W1157" s="5" t="s">
        <v>260</v>
      </c>
      <c r="X1157" s="5" t="s">
        <v>260</v>
      </c>
      <c r="Y1157" s="4">
        <v>217</v>
      </c>
      <c r="Z1157" s="4">
        <v>159</v>
      </c>
      <c r="AA1157" s="4">
        <v>159</v>
      </c>
      <c r="AB1157" s="4">
        <v>2</v>
      </c>
      <c r="AC1157" s="4">
        <v>2</v>
      </c>
      <c r="AD1157" s="4">
        <v>22</v>
      </c>
      <c r="AE1157" s="4">
        <v>22</v>
      </c>
      <c r="AF1157" s="4">
        <v>6</v>
      </c>
      <c r="AG1157" s="4">
        <v>6</v>
      </c>
      <c r="AH1157" s="4">
        <v>5</v>
      </c>
      <c r="AI1157" s="4">
        <v>5</v>
      </c>
      <c r="AJ1157" s="4">
        <v>16</v>
      </c>
      <c r="AK1157" s="4">
        <v>16</v>
      </c>
      <c r="AL1157" s="4">
        <v>0</v>
      </c>
      <c r="AM1157" s="4">
        <v>0</v>
      </c>
      <c r="AN1157" s="4">
        <v>0</v>
      </c>
      <c r="AO1157" s="4">
        <v>0</v>
      </c>
      <c r="AP1157" s="3" t="s">
        <v>58</v>
      </c>
      <c r="AQ1157" s="3" t="s">
        <v>58</v>
      </c>
      <c r="AS1157" s="6" t="str">
        <f>HYPERLINK("https://creighton-primo.hosted.exlibrisgroup.com/primo-explore/search?tab=default_tab&amp;search_scope=EVERYTHING&amp;vid=01CRU&amp;lang=en_US&amp;offset=0&amp;query=any,contains,991000960049702656","Catalog Record")</f>
        <v>Catalog Record</v>
      </c>
      <c r="AT1157" s="6" t="str">
        <f>HYPERLINK("http://www.worldcat.org/oclc/14817887","WorldCat Record")</f>
        <v>WorldCat Record</v>
      </c>
      <c r="AU1157" s="3" t="s">
        <v>14459</v>
      </c>
      <c r="AV1157" s="3" t="s">
        <v>14460</v>
      </c>
      <c r="AW1157" s="3" t="s">
        <v>14461</v>
      </c>
      <c r="AX1157" s="3" t="s">
        <v>14461</v>
      </c>
      <c r="AY1157" s="3" t="s">
        <v>14462</v>
      </c>
      <c r="AZ1157" s="3" t="s">
        <v>75</v>
      </c>
      <c r="BB1157" s="3" t="s">
        <v>14463</v>
      </c>
      <c r="BC1157" s="3" t="s">
        <v>14464</v>
      </c>
      <c r="BD1157" s="3" t="s">
        <v>14465</v>
      </c>
    </row>
    <row r="1158" spans="1:56" ht="39" customHeight="1" x14ac:dyDescent="0.25">
      <c r="A1158" s="7" t="s">
        <v>58</v>
      </c>
      <c r="B1158" s="2" t="s">
        <v>14466</v>
      </c>
      <c r="C1158" s="2" t="s">
        <v>14467</v>
      </c>
      <c r="D1158" s="2" t="s">
        <v>14468</v>
      </c>
      <c r="F1158" s="3" t="s">
        <v>58</v>
      </c>
      <c r="G1158" s="3" t="s">
        <v>59</v>
      </c>
      <c r="H1158" s="3" t="s">
        <v>58</v>
      </c>
      <c r="I1158" s="3" t="s">
        <v>58</v>
      </c>
      <c r="J1158" s="3" t="s">
        <v>60</v>
      </c>
      <c r="K1158" s="2" t="s">
        <v>14469</v>
      </c>
      <c r="L1158" s="2" t="s">
        <v>14470</v>
      </c>
      <c r="M1158" s="3" t="s">
        <v>1723</v>
      </c>
      <c r="O1158" s="3" t="s">
        <v>65</v>
      </c>
      <c r="P1158" s="3" t="s">
        <v>245</v>
      </c>
      <c r="R1158" s="3" t="s">
        <v>68</v>
      </c>
      <c r="S1158" s="4">
        <v>1</v>
      </c>
      <c r="T1158" s="4">
        <v>1</v>
      </c>
      <c r="U1158" s="5" t="s">
        <v>14471</v>
      </c>
      <c r="V1158" s="5" t="s">
        <v>14471</v>
      </c>
      <c r="W1158" s="5" t="s">
        <v>14471</v>
      </c>
      <c r="X1158" s="5" t="s">
        <v>14471</v>
      </c>
      <c r="Y1158" s="4">
        <v>144</v>
      </c>
      <c r="Z1158" s="4">
        <v>104</v>
      </c>
      <c r="AA1158" s="4">
        <v>104</v>
      </c>
      <c r="AB1158" s="4">
        <v>1</v>
      </c>
      <c r="AC1158" s="4">
        <v>1</v>
      </c>
      <c r="AD1158" s="4">
        <v>10</v>
      </c>
      <c r="AE1158" s="4">
        <v>10</v>
      </c>
      <c r="AF1158" s="4">
        <v>2</v>
      </c>
      <c r="AG1158" s="4">
        <v>2</v>
      </c>
      <c r="AH1158" s="4">
        <v>3</v>
      </c>
      <c r="AI1158" s="4">
        <v>3</v>
      </c>
      <c r="AJ1158" s="4">
        <v>7</v>
      </c>
      <c r="AK1158" s="4">
        <v>7</v>
      </c>
      <c r="AL1158" s="4">
        <v>0</v>
      </c>
      <c r="AM1158" s="4">
        <v>0</v>
      </c>
      <c r="AN1158" s="4">
        <v>0</v>
      </c>
      <c r="AO1158" s="4">
        <v>0</v>
      </c>
      <c r="AP1158" s="3" t="s">
        <v>58</v>
      </c>
      <c r="AQ1158" s="3" t="s">
        <v>58</v>
      </c>
      <c r="AS1158" s="6" t="str">
        <f>HYPERLINK("https://creighton-primo.hosted.exlibrisgroup.com/primo-explore/search?tab=default_tab&amp;search_scope=EVERYTHING&amp;vid=01CRU&amp;lang=en_US&amp;offset=0&amp;query=any,contains,991005178859702656","Catalog Record")</f>
        <v>Catalog Record</v>
      </c>
      <c r="AT1158" s="6" t="str">
        <f>HYPERLINK("http://www.worldcat.org/oclc/46472160","WorldCat Record")</f>
        <v>WorldCat Record</v>
      </c>
      <c r="AU1158" s="3" t="s">
        <v>14472</v>
      </c>
      <c r="AV1158" s="3" t="s">
        <v>14473</v>
      </c>
      <c r="AW1158" s="3" t="s">
        <v>14474</v>
      </c>
      <c r="AX1158" s="3" t="s">
        <v>14474</v>
      </c>
      <c r="AY1158" s="3" t="s">
        <v>14475</v>
      </c>
      <c r="AZ1158" s="3" t="s">
        <v>75</v>
      </c>
      <c r="BB1158" s="3" t="s">
        <v>14476</v>
      </c>
      <c r="BC1158" s="3" t="s">
        <v>14477</v>
      </c>
      <c r="BD1158" s="3" t="s">
        <v>14478</v>
      </c>
    </row>
    <row r="1159" spans="1:56" ht="39" customHeight="1" x14ac:dyDescent="0.25">
      <c r="A1159" s="7" t="s">
        <v>58</v>
      </c>
      <c r="B1159" s="2" t="s">
        <v>14479</v>
      </c>
      <c r="C1159" s="2" t="s">
        <v>14480</v>
      </c>
      <c r="D1159" s="2" t="s">
        <v>14481</v>
      </c>
      <c r="F1159" s="3" t="s">
        <v>58</v>
      </c>
      <c r="G1159" s="3" t="s">
        <v>59</v>
      </c>
      <c r="H1159" s="3" t="s">
        <v>58</v>
      </c>
      <c r="I1159" s="3" t="s">
        <v>58</v>
      </c>
      <c r="J1159" s="3" t="s">
        <v>60</v>
      </c>
      <c r="K1159" s="2" t="s">
        <v>14482</v>
      </c>
      <c r="L1159" s="2" t="s">
        <v>14483</v>
      </c>
      <c r="M1159" s="3" t="s">
        <v>11399</v>
      </c>
      <c r="O1159" s="3" t="s">
        <v>65</v>
      </c>
      <c r="P1159" s="3" t="s">
        <v>492</v>
      </c>
      <c r="R1159" s="3" t="s">
        <v>68</v>
      </c>
      <c r="S1159" s="4">
        <v>5</v>
      </c>
      <c r="T1159" s="4">
        <v>5</v>
      </c>
      <c r="U1159" s="5" t="s">
        <v>14484</v>
      </c>
      <c r="V1159" s="5" t="s">
        <v>14484</v>
      </c>
      <c r="W1159" s="5" t="s">
        <v>260</v>
      </c>
      <c r="X1159" s="5" t="s">
        <v>260</v>
      </c>
      <c r="Y1159" s="4">
        <v>14</v>
      </c>
      <c r="Z1159" s="4">
        <v>13</v>
      </c>
      <c r="AA1159" s="4">
        <v>208</v>
      </c>
      <c r="AB1159" s="4">
        <v>1</v>
      </c>
      <c r="AC1159" s="4">
        <v>4</v>
      </c>
      <c r="AD1159" s="4">
        <v>4</v>
      </c>
      <c r="AE1159" s="4">
        <v>21</v>
      </c>
      <c r="AF1159" s="4">
        <v>0</v>
      </c>
      <c r="AG1159" s="4">
        <v>6</v>
      </c>
      <c r="AH1159" s="4">
        <v>1</v>
      </c>
      <c r="AI1159" s="4">
        <v>4</v>
      </c>
      <c r="AJ1159" s="4">
        <v>3</v>
      </c>
      <c r="AK1159" s="4">
        <v>12</v>
      </c>
      <c r="AL1159" s="4">
        <v>0</v>
      </c>
      <c r="AM1159" s="4">
        <v>2</v>
      </c>
      <c r="AN1159" s="4">
        <v>0</v>
      </c>
      <c r="AO1159" s="4">
        <v>0</v>
      </c>
      <c r="AP1159" s="3" t="s">
        <v>58</v>
      </c>
      <c r="AQ1159" s="3" t="s">
        <v>58</v>
      </c>
      <c r="AS1159" s="6" t="str">
        <f>HYPERLINK("https://creighton-primo.hosted.exlibrisgroup.com/primo-explore/search?tab=default_tab&amp;search_scope=EVERYTHING&amp;vid=01CRU&amp;lang=en_US&amp;offset=0&amp;query=any,contains,991000869479702656","Catalog Record")</f>
        <v>Catalog Record</v>
      </c>
      <c r="AT1159" s="6" t="str">
        <f>HYPERLINK("http://www.worldcat.org/oclc/13780335","WorldCat Record")</f>
        <v>WorldCat Record</v>
      </c>
      <c r="AU1159" s="3" t="s">
        <v>14485</v>
      </c>
      <c r="AV1159" s="3" t="s">
        <v>14486</v>
      </c>
      <c r="AW1159" s="3" t="s">
        <v>14487</v>
      </c>
      <c r="AX1159" s="3" t="s">
        <v>14487</v>
      </c>
      <c r="AY1159" s="3" t="s">
        <v>14488</v>
      </c>
      <c r="AZ1159" s="3" t="s">
        <v>75</v>
      </c>
      <c r="BC1159" s="3" t="s">
        <v>14489</v>
      </c>
      <c r="BD1159" s="3" t="s">
        <v>14490</v>
      </c>
    </row>
    <row r="1160" spans="1:56" ht="39" customHeight="1" x14ac:dyDescent="0.25">
      <c r="A1160" s="7" t="s">
        <v>58</v>
      </c>
      <c r="B1160" s="2" t="s">
        <v>14491</v>
      </c>
      <c r="C1160" s="2" t="s">
        <v>14492</v>
      </c>
      <c r="D1160" s="2" t="s">
        <v>14493</v>
      </c>
      <c r="F1160" s="3" t="s">
        <v>58</v>
      </c>
      <c r="G1160" s="3" t="s">
        <v>59</v>
      </c>
      <c r="H1160" s="3" t="s">
        <v>58</v>
      </c>
      <c r="I1160" s="3" t="s">
        <v>58</v>
      </c>
      <c r="J1160" s="3" t="s">
        <v>60</v>
      </c>
      <c r="K1160" s="2" t="s">
        <v>14494</v>
      </c>
      <c r="L1160" s="2" t="s">
        <v>14495</v>
      </c>
      <c r="M1160" s="3" t="s">
        <v>14496</v>
      </c>
      <c r="O1160" s="3" t="s">
        <v>65</v>
      </c>
      <c r="P1160" s="3" t="s">
        <v>66</v>
      </c>
      <c r="R1160" s="3" t="s">
        <v>68</v>
      </c>
      <c r="S1160" s="4">
        <v>3</v>
      </c>
      <c r="T1160" s="4">
        <v>3</v>
      </c>
      <c r="U1160" s="5" t="s">
        <v>14497</v>
      </c>
      <c r="V1160" s="5" t="s">
        <v>14497</v>
      </c>
      <c r="W1160" s="5" t="s">
        <v>2494</v>
      </c>
      <c r="X1160" s="5" t="s">
        <v>2494</v>
      </c>
      <c r="Y1160" s="4">
        <v>15</v>
      </c>
      <c r="Z1160" s="4">
        <v>13</v>
      </c>
      <c r="AA1160" s="4">
        <v>25</v>
      </c>
      <c r="AB1160" s="4">
        <v>1</v>
      </c>
      <c r="AC1160" s="4">
        <v>1</v>
      </c>
      <c r="AD1160" s="4">
        <v>3</v>
      </c>
      <c r="AE1160" s="4">
        <v>4</v>
      </c>
      <c r="AF1160" s="4">
        <v>0</v>
      </c>
      <c r="AG1160" s="4">
        <v>0</v>
      </c>
      <c r="AH1160" s="4">
        <v>0</v>
      </c>
      <c r="AI1160" s="4">
        <v>1</v>
      </c>
      <c r="AJ1160" s="4">
        <v>3</v>
      </c>
      <c r="AK1160" s="4">
        <v>3</v>
      </c>
      <c r="AL1160" s="4">
        <v>0</v>
      </c>
      <c r="AM1160" s="4">
        <v>0</v>
      </c>
      <c r="AN1160" s="4">
        <v>0</v>
      </c>
      <c r="AO1160" s="4">
        <v>0</v>
      </c>
      <c r="AP1160" s="3" t="s">
        <v>58</v>
      </c>
      <c r="AQ1160" s="3" t="s">
        <v>58</v>
      </c>
      <c r="AS1160" s="6" t="str">
        <f>HYPERLINK("https://creighton-primo.hosted.exlibrisgroup.com/primo-explore/search?tab=default_tab&amp;search_scope=EVERYTHING&amp;vid=01CRU&amp;lang=en_US&amp;offset=0&amp;query=any,contains,991004412579702656","Catalog Record")</f>
        <v>Catalog Record</v>
      </c>
      <c r="AT1160" s="6" t="str">
        <f>HYPERLINK("http://www.worldcat.org/oclc/3348717","WorldCat Record")</f>
        <v>WorldCat Record</v>
      </c>
      <c r="AU1160" s="3" t="s">
        <v>14498</v>
      </c>
      <c r="AV1160" s="3" t="s">
        <v>14499</v>
      </c>
      <c r="AW1160" s="3" t="s">
        <v>14500</v>
      </c>
      <c r="AX1160" s="3" t="s">
        <v>14500</v>
      </c>
      <c r="AY1160" s="3" t="s">
        <v>14501</v>
      </c>
      <c r="AZ1160" s="3" t="s">
        <v>75</v>
      </c>
      <c r="BC1160" s="3" t="s">
        <v>14502</v>
      </c>
      <c r="BD1160" s="3" t="s">
        <v>14503</v>
      </c>
    </row>
    <row r="1161" spans="1:56" ht="39" customHeight="1" x14ac:dyDescent="0.25">
      <c r="A1161" s="7" t="s">
        <v>58</v>
      </c>
      <c r="B1161" s="2" t="s">
        <v>14504</v>
      </c>
      <c r="C1161" s="2" t="s">
        <v>14505</v>
      </c>
      <c r="D1161" s="2" t="s">
        <v>14506</v>
      </c>
      <c r="F1161" s="3" t="s">
        <v>58</v>
      </c>
      <c r="G1161" s="3" t="s">
        <v>59</v>
      </c>
      <c r="H1161" s="3" t="s">
        <v>58</v>
      </c>
      <c r="I1161" s="3" t="s">
        <v>58</v>
      </c>
      <c r="J1161" s="3" t="s">
        <v>60</v>
      </c>
      <c r="K1161" s="2" t="s">
        <v>14507</v>
      </c>
      <c r="L1161" s="2" t="s">
        <v>14508</v>
      </c>
      <c r="M1161" s="3" t="s">
        <v>845</v>
      </c>
      <c r="O1161" s="3" t="s">
        <v>65</v>
      </c>
      <c r="P1161" s="3" t="s">
        <v>695</v>
      </c>
      <c r="Q1161" s="2" t="s">
        <v>14509</v>
      </c>
      <c r="R1161" s="3" t="s">
        <v>68</v>
      </c>
      <c r="S1161" s="4">
        <v>4</v>
      </c>
      <c r="T1161" s="4">
        <v>4</v>
      </c>
      <c r="U1161" s="5" t="s">
        <v>14510</v>
      </c>
      <c r="V1161" s="5" t="s">
        <v>14510</v>
      </c>
      <c r="W1161" s="5" t="s">
        <v>14511</v>
      </c>
      <c r="X1161" s="5" t="s">
        <v>14511</v>
      </c>
      <c r="Y1161" s="4">
        <v>182</v>
      </c>
      <c r="Z1161" s="4">
        <v>173</v>
      </c>
      <c r="AA1161" s="4">
        <v>189</v>
      </c>
      <c r="AB1161" s="4">
        <v>2</v>
      </c>
      <c r="AC1161" s="4">
        <v>2</v>
      </c>
      <c r="AD1161" s="4">
        <v>19</v>
      </c>
      <c r="AE1161" s="4">
        <v>21</v>
      </c>
      <c r="AF1161" s="4">
        <v>5</v>
      </c>
      <c r="AG1161" s="4">
        <v>7</v>
      </c>
      <c r="AH1161" s="4">
        <v>5</v>
      </c>
      <c r="AI1161" s="4">
        <v>5</v>
      </c>
      <c r="AJ1161" s="4">
        <v>12</v>
      </c>
      <c r="AK1161" s="4">
        <v>12</v>
      </c>
      <c r="AL1161" s="4">
        <v>1</v>
      </c>
      <c r="AM1161" s="4">
        <v>1</v>
      </c>
      <c r="AN1161" s="4">
        <v>0</v>
      </c>
      <c r="AO1161" s="4">
        <v>0</v>
      </c>
      <c r="AP1161" s="3" t="s">
        <v>58</v>
      </c>
      <c r="AQ1161" s="3" t="s">
        <v>58</v>
      </c>
      <c r="AS1161" s="6" t="str">
        <f>HYPERLINK("https://creighton-primo.hosted.exlibrisgroup.com/primo-explore/search?tab=default_tab&amp;search_scope=EVERYTHING&amp;vid=01CRU&amp;lang=en_US&amp;offset=0&amp;query=any,contains,991000079799702656","Catalog Record")</f>
        <v>Catalog Record</v>
      </c>
      <c r="AT1161" s="6" t="str">
        <f>HYPERLINK("http://www.worldcat.org/oclc/31347","WorldCat Record")</f>
        <v>WorldCat Record</v>
      </c>
      <c r="AU1161" s="3" t="s">
        <v>14512</v>
      </c>
      <c r="AV1161" s="3" t="s">
        <v>14513</v>
      </c>
      <c r="AW1161" s="3" t="s">
        <v>14514</v>
      </c>
      <c r="AX1161" s="3" t="s">
        <v>14514</v>
      </c>
      <c r="AY1161" s="3" t="s">
        <v>14515</v>
      </c>
      <c r="AZ1161" s="3" t="s">
        <v>75</v>
      </c>
      <c r="BC1161" s="3" t="s">
        <v>14516</v>
      </c>
      <c r="BD1161" s="3" t="s">
        <v>14517</v>
      </c>
    </row>
    <row r="1162" spans="1:56" ht="39" customHeight="1" x14ac:dyDescent="0.25">
      <c r="A1162" s="7" t="s">
        <v>58</v>
      </c>
      <c r="B1162" s="2" t="s">
        <v>14518</v>
      </c>
      <c r="C1162" s="2" t="s">
        <v>14519</v>
      </c>
      <c r="D1162" s="2" t="s">
        <v>14520</v>
      </c>
      <c r="F1162" s="3" t="s">
        <v>58</v>
      </c>
      <c r="G1162" s="3" t="s">
        <v>59</v>
      </c>
      <c r="H1162" s="3" t="s">
        <v>58</v>
      </c>
      <c r="I1162" s="3" t="s">
        <v>58</v>
      </c>
      <c r="J1162" s="3" t="s">
        <v>60</v>
      </c>
      <c r="K1162" s="2" t="s">
        <v>14521</v>
      </c>
      <c r="L1162" s="2" t="s">
        <v>14522</v>
      </c>
      <c r="M1162" s="3" t="s">
        <v>289</v>
      </c>
      <c r="O1162" s="3" t="s">
        <v>65</v>
      </c>
      <c r="P1162" s="3" t="s">
        <v>304</v>
      </c>
      <c r="R1162" s="3" t="s">
        <v>68</v>
      </c>
      <c r="S1162" s="4">
        <v>7</v>
      </c>
      <c r="T1162" s="4">
        <v>7</v>
      </c>
      <c r="U1162" s="5" t="s">
        <v>14523</v>
      </c>
      <c r="V1162" s="5" t="s">
        <v>14523</v>
      </c>
      <c r="W1162" s="5" t="s">
        <v>1964</v>
      </c>
      <c r="X1162" s="5" t="s">
        <v>1964</v>
      </c>
      <c r="Y1162" s="4">
        <v>188</v>
      </c>
      <c r="Z1162" s="4">
        <v>154</v>
      </c>
      <c r="AA1162" s="4">
        <v>160</v>
      </c>
      <c r="AB1162" s="4">
        <v>2</v>
      </c>
      <c r="AC1162" s="4">
        <v>2</v>
      </c>
      <c r="AD1162" s="4">
        <v>20</v>
      </c>
      <c r="AE1162" s="4">
        <v>20</v>
      </c>
      <c r="AF1162" s="4">
        <v>6</v>
      </c>
      <c r="AG1162" s="4">
        <v>6</v>
      </c>
      <c r="AH1162" s="4">
        <v>6</v>
      </c>
      <c r="AI1162" s="4">
        <v>6</v>
      </c>
      <c r="AJ1162" s="4">
        <v>15</v>
      </c>
      <c r="AK1162" s="4">
        <v>15</v>
      </c>
      <c r="AL1162" s="4">
        <v>0</v>
      </c>
      <c r="AM1162" s="4">
        <v>0</v>
      </c>
      <c r="AN1162" s="4">
        <v>0</v>
      </c>
      <c r="AO1162" s="4">
        <v>0</v>
      </c>
      <c r="AP1162" s="3" t="s">
        <v>58</v>
      </c>
      <c r="AQ1162" s="3" t="s">
        <v>58</v>
      </c>
      <c r="AS1162" s="6" t="str">
        <f>HYPERLINK("https://creighton-primo.hosted.exlibrisgroup.com/primo-explore/search?tab=default_tab&amp;search_scope=EVERYTHING&amp;vid=01CRU&amp;lang=en_US&amp;offset=0&amp;query=any,contains,991005170039702656","Catalog Record")</f>
        <v>Catalog Record</v>
      </c>
      <c r="AT1162" s="6" t="str">
        <f>HYPERLINK("http://www.worldcat.org/oclc/7850300","WorldCat Record")</f>
        <v>WorldCat Record</v>
      </c>
      <c r="AU1162" s="3" t="s">
        <v>14524</v>
      </c>
      <c r="AV1162" s="3" t="s">
        <v>14525</v>
      </c>
      <c r="AW1162" s="3" t="s">
        <v>14526</v>
      </c>
      <c r="AX1162" s="3" t="s">
        <v>14526</v>
      </c>
      <c r="AY1162" s="3" t="s">
        <v>14527</v>
      </c>
      <c r="AZ1162" s="3" t="s">
        <v>75</v>
      </c>
      <c r="BB1162" s="3" t="s">
        <v>14528</v>
      </c>
      <c r="BC1162" s="3" t="s">
        <v>14529</v>
      </c>
      <c r="BD1162" s="3" t="s">
        <v>14530</v>
      </c>
    </row>
    <row r="1163" spans="1:56" ht="39" customHeight="1" x14ac:dyDescent="0.25">
      <c r="A1163" s="7" t="s">
        <v>58</v>
      </c>
      <c r="B1163" s="2" t="s">
        <v>14531</v>
      </c>
      <c r="C1163" s="2" t="s">
        <v>14532</v>
      </c>
      <c r="D1163" s="2" t="s">
        <v>14533</v>
      </c>
      <c r="F1163" s="3" t="s">
        <v>58</v>
      </c>
      <c r="G1163" s="3" t="s">
        <v>59</v>
      </c>
      <c r="H1163" s="3" t="s">
        <v>58</v>
      </c>
      <c r="I1163" s="3" t="s">
        <v>58</v>
      </c>
      <c r="J1163" s="3" t="s">
        <v>60</v>
      </c>
      <c r="K1163" s="2" t="s">
        <v>14534</v>
      </c>
      <c r="L1163" s="2" t="s">
        <v>14535</v>
      </c>
      <c r="M1163" s="3" t="s">
        <v>966</v>
      </c>
      <c r="O1163" s="3" t="s">
        <v>65</v>
      </c>
      <c r="P1163" s="3" t="s">
        <v>158</v>
      </c>
      <c r="R1163" s="3" t="s">
        <v>68</v>
      </c>
      <c r="S1163" s="4">
        <v>8</v>
      </c>
      <c r="T1163" s="4">
        <v>8</v>
      </c>
      <c r="U1163" s="5" t="s">
        <v>3034</v>
      </c>
      <c r="V1163" s="5" t="s">
        <v>3034</v>
      </c>
      <c r="W1163" s="5" t="s">
        <v>14536</v>
      </c>
      <c r="X1163" s="5" t="s">
        <v>14536</v>
      </c>
      <c r="Y1163" s="4">
        <v>238</v>
      </c>
      <c r="Z1163" s="4">
        <v>175</v>
      </c>
      <c r="AA1163" s="4">
        <v>195</v>
      </c>
      <c r="AB1163" s="4">
        <v>1</v>
      </c>
      <c r="AC1163" s="4">
        <v>1</v>
      </c>
      <c r="AD1163" s="4">
        <v>15</v>
      </c>
      <c r="AE1163" s="4">
        <v>15</v>
      </c>
      <c r="AF1163" s="4">
        <v>7</v>
      </c>
      <c r="AG1163" s="4">
        <v>7</v>
      </c>
      <c r="AH1163" s="4">
        <v>4</v>
      </c>
      <c r="AI1163" s="4">
        <v>4</v>
      </c>
      <c r="AJ1163" s="4">
        <v>9</v>
      </c>
      <c r="AK1163" s="4">
        <v>9</v>
      </c>
      <c r="AL1163" s="4">
        <v>0</v>
      </c>
      <c r="AM1163" s="4">
        <v>0</v>
      </c>
      <c r="AN1163" s="4">
        <v>0</v>
      </c>
      <c r="AO1163" s="4">
        <v>0</v>
      </c>
      <c r="AP1163" s="3" t="s">
        <v>58</v>
      </c>
      <c r="AQ1163" s="3" t="s">
        <v>58</v>
      </c>
      <c r="AS1163" s="6" t="str">
        <f>HYPERLINK("https://creighton-primo.hosted.exlibrisgroup.com/primo-explore/search?tab=default_tab&amp;search_scope=EVERYTHING&amp;vid=01CRU&amp;lang=en_US&amp;offset=0&amp;query=any,contains,991002098319702656","Catalog Record")</f>
        <v>Catalog Record</v>
      </c>
      <c r="AT1163" s="6" t="str">
        <f>HYPERLINK("http://www.worldcat.org/oclc/26929623","WorldCat Record")</f>
        <v>WorldCat Record</v>
      </c>
      <c r="AU1163" s="3" t="s">
        <v>14537</v>
      </c>
      <c r="AV1163" s="3" t="s">
        <v>14538</v>
      </c>
      <c r="AW1163" s="3" t="s">
        <v>14539</v>
      </c>
      <c r="AX1163" s="3" t="s">
        <v>14539</v>
      </c>
      <c r="AY1163" s="3" t="s">
        <v>14540</v>
      </c>
      <c r="AZ1163" s="3" t="s">
        <v>75</v>
      </c>
      <c r="BB1163" s="3" t="s">
        <v>14541</v>
      </c>
      <c r="BC1163" s="3" t="s">
        <v>14542</v>
      </c>
      <c r="BD1163" s="3" t="s">
        <v>14543</v>
      </c>
    </row>
    <row r="1164" spans="1:56" ht="39" customHeight="1" x14ac:dyDescent="0.25">
      <c r="A1164" s="7" t="s">
        <v>58</v>
      </c>
      <c r="B1164" s="2" t="s">
        <v>14544</v>
      </c>
      <c r="C1164" s="2" t="s">
        <v>14545</v>
      </c>
      <c r="D1164" s="2" t="s">
        <v>14546</v>
      </c>
      <c r="F1164" s="3" t="s">
        <v>58</v>
      </c>
      <c r="G1164" s="3" t="s">
        <v>59</v>
      </c>
      <c r="H1164" s="3" t="s">
        <v>58</v>
      </c>
      <c r="I1164" s="3" t="s">
        <v>58</v>
      </c>
      <c r="J1164" s="3" t="s">
        <v>60</v>
      </c>
      <c r="K1164" s="2" t="s">
        <v>14547</v>
      </c>
      <c r="L1164" s="2" t="s">
        <v>2331</v>
      </c>
      <c r="M1164" s="3" t="s">
        <v>462</v>
      </c>
      <c r="O1164" s="3" t="s">
        <v>65</v>
      </c>
      <c r="P1164" s="3" t="s">
        <v>186</v>
      </c>
      <c r="R1164" s="3" t="s">
        <v>68</v>
      </c>
      <c r="S1164" s="4">
        <v>4</v>
      </c>
      <c r="T1164" s="4">
        <v>4</v>
      </c>
      <c r="U1164" s="5" t="s">
        <v>4162</v>
      </c>
      <c r="V1164" s="5" t="s">
        <v>4162</v>
      </c>
      <c r="W1164" s="5" t="s">
        <v>260</v>
      </c>
      <c r="X1164" s="5" t="s">
        <v>260</v>
      </c>
      <c r="Y1164" s="4">
        <v>161</v>
      </c>
      <c r="Z1164" s="4">
        <v>147</v>
      </c>
      <c r="AA1164" s="4">
        <v>152</v>
      </c>
      <c r="AB1164" s="4">
        <v>2</v>
      </c>
      <c r="AC1164" s="4">
        <v>2</v>
      </c>
      <c r="AD1164" s="4">
        <v>10</v>
      </c>
      <c r="AE1164" s="4">
        <v>10</v>
      </c>
      <c r="AF1164" s="4">
        <v>0</v>
      </c>
      <c r="AG1164" s="4">
        <v>0</v>
      </c>
      <c r="AH1164" s="4">
        <v>2</v>
      </c>
      <c r="AI1164" s="4">
        <v>2</v>
      </c>
      <c r="AJ1164" s="4">
        <v>9</v>
      </c>
      <c r="AK1164" s="4">
        <v>9</v>
      </c>
      <c r="AL1164" s="4">
        <v>0</v>
      </c>
      <c r="AM1164" s="4">
        <v>0</v>
      </c>
      <c r="AN1164" s="4">
        <v>0</v>
      </c>
      <c r="AO1164" s="4">
        <v>0</v>
      </c>
      <c r="AP1164" s="3" t="s">
        <v>58</v>
      </c>
      <c r="AQ1164" s="3" t="s">
        <v>58</v>
      </c>
      <c r="AS1164" s="6" t="str">
        <f>HYPERLINK("https://creighton-primo.hosted.exlibrisgroup.com/primo-explore/search?tab=default_tab&amp;search_scope=EVERYTHING&amp;vid=01CRU&amp;lang=en_US&amp;offset=0&amp;query=any,contains,991000511599702656","Catalog Record")</f>
        <v>Catalog Record</v>
      </c>
      <c r="AT1164" s="6" t="str">
        <f>HYPERLINK("http://www.worldcat.org/oclc/11241298","WorldCat Record")</f>
        <v>WorldCat Record</v>
      </c>
      <c r="AU1164" s="3" t="s">
        <v>14548</v>
      </c>
      <c r="AV1164" s="3" t="s">
        <v>14549</v>
      </c>
      <c r="AW1164" s="3" t="s">
        <v>14550</v>
      </c>
      <c r="AX1164" s="3" t="s">
        <v>14550</v>
      </c>
      <c r="AY1164" s="3" t="s">
        <v>14551</v>
      </c>
      <c r="AZ1164" s="3" t="s">
        <v>75</v>
      </c>
      <c r="BB1164" s="3" t="s">
        <v>14552</v>
      </c>
      <c r="BC1164" s="3" t="s">
        <v>14553</v>
      </c>
      <c r="BD1164" s="3" t="s">
        <v>14554</v>
      </c>
    </row>
    <row r="1165" spans="1:56" ht="39" customHeight="1" x14ac:dyDescent="0.25">
      <c r="A1165" s="7" t="s">
        <v>58</v>
      </c>
      <c r="B1165" s="2" t="s">
        <v>14555</v>
      </c>
      <c r="C1165" s="2" t="s">
        <v>14556</v>
      </c>
      <c r="D1165" s="2" t="s">
        <v>14557</v>
      </c>
      <c r="F1165" s="3" t="s">
        <v>58</v>
      </c>
      <c r="G1165" s="3" t="s">
        <v>59</v>
      </c>
      <c r="H1165" s="3" t="s">
        <v>58</v>
      </c>
      <c r="I1165" s="3" t="s">
        <v>58</v>
      </c>
      <c r="J1165" s="3" t="s">
        <v>60</v>
      </c>
      <c r="L1165" s="2" t="s">
        <v>14558</v>
      </c>
      <c r="M1165" s="3" t="s">
        <v>361</v>
      </c>
      <c r="O1165" s="3" t="s">
        <v>65</v>
      </c>
      <c r="P1165" s="3" t="s">
        <v>12607</v>
      </c>
      <c r="Q1165" s="2" t="s">
        <v>14559</v>
      </c>
      <c r="R1165" s="3" t="s">
        <v>68</v>
      </c>
      <c r="S1165" s="4">
        <v>8</v>
      </c>
      <c r="T1165" s="4">
        <v>8</v>
      </c>
      <c r="U1165" s="5" t="s">
        <v>14560</v>
      </c>
      <c r="V1165" s="5" t="s">
        <v>14560</v>
      </c>
      <c r="W1165" s="5" t="s">
        <v>260</v>
      </c>
      <c r="X1165" s="5" t="s">
        <v>260</v>
      </c>
      <c r="Y1165" s="4">
        <v>292</v>
      </c>
      <c r="Z1165" s="4">
        <v>195</v>
      </c>
      <c r="AA1165" s="4">
        <v>196</v>
      </c>
      <c r="AB1165" s="4">
        <v>1</v>
      </c>
      <c r="AC1165" s="4">
        <v>1</v>
      </c>
      <c r="AD1165" s="4">
        <v>18</v>
      </c>
      <c r="AE1165" s="4">
        <v>18</v>
      </c>
      <c r="AF1165" s="4">
        <v>6</v>
      </c>
      <c r="AG1165" s="4">
        <v>6</v>
      </c>
      <c r="AH1165" s="4">
        <v>4</v>
      </c>
      <c r="AI1165" s="4">
        <v>4</v>
      </c>
      <c r="AJ1165" s="4">
        <v>10</v>
      </c>
      <c r="AK1165" s="4">
        <v>10</v>
      </c>
      <c r="AL1165" s="4">
        <v>0</v>
      </c>
      <c r="AM1165" s="4">
        <v>0</v>
      </c>
      <c r="AN1165" s="4">
        <v>0</v>
      </c>
      <c r="AO1165" s="4">
        <v>0</v>
      </c>
      <c r="AP1165" s="3" t="s">
        <v>58</v>
      </c>
      <c r="AQ1165" s="3" t="s">
        <v>58</v>
      </c>
      <c r="AS1165" s="6" t="str">
        <f>HYPERLINK("https://creighton-primo.hosted.exlibrisgroup.com/primo-explore/search?tab=default_tab&amp;search_scope=EVERYTHING&amp;vid=01CRU&amp;lang=en_US&amp;offset=0&amp;query=any,contains,991000271429702656","Catalog Record")</f>
        <v>Catalog Record</v>
      </c>
      <c r="AT1165" s="6" t="str">
        <f>HYPERLINK("http://www.worldcat.org/oclc/9862392","WorldCat Record")</f>
        <v>WorldCat Record</v>
      </c>
      <c r="AU1165" s="3" t="s">
        <v>14561</v>
      </c>
      <c r="AV1165" s="3" t="s">
        <v>14562</v>
      </c>
      <c r="AW1165" s="3" t="s">
        <v>14563</v>
      </c>
      <c r="AX1165" s="3" t="s">
        <v>14563</v>
      </c>
      <c r="AY1165" s="3" t="s">
        <v>14564</v>
      </c>
      <c r="AZ1165" s="3" t="s">
        <v>75</v>
      </c>
      <c r="BB1165" s="3" t="s">
        <v>14565</v>
      </c>
      <c r="BC1165" s="3" t="s">
        <v>14566</v>
      </c>
      <c r="BD1165" s="3" t="s">
        <v>14567</v>
      </c>
    </row>
    <row r="1166" spans="1:56" ht="39" customHeight="1" x14ac:dyDescent="0.25">
      <c r="A1166" s="7" t="s">
        <v>58</v>
      </c>
      <c r="B1166" s="2" t="s">
        <v>14568</v>
      </c>
      <c r="C1166" s="2" t="s">
        <v>14569</v>
      </c>
      <c r="D1166" s="2" t="s">
        <v>14570</v>
      </c>
      <c r="F1166" s="3" t="s">
        <v>58</v>
      </c>
      <c r="G1166" s="3" t="s">
        <v>59</v>
      </c>
      <c r="H1166" s="3" t="s">
        <v>58</v>
      </c>
      <c r="I1166" s="3" t="s">
        <v>58</v>
      </c>
      <c r="J1166" s="3" t="s">
        <v>60</v>
      </c>
      <c r="K1166" s="2" t="s">
        <v>14571</v>
      </c>
      <c r="L1166" s="2" t="s">
        <v>14572</v>
      </c>
      <c r="M1166" s="3" t="s">
        <v>1150</v>
      </c>
      <c r="O1166" s="3" t="s">
        <v>65</v>
      </c>
      <c r="P1166" s="3" t="s">
        <v>201</v>
      </c>
      <c r="R1166" s="3" t="s">
        <v>68</v>
      </c>
      <c r="S1166" s="4">
        <v>3</v>
      </c>
      <c r="T1166" s="4">
        <v>3</v>
      </c>
      <c r="U1166" s="5" t="s">
        <v>14573</v>
      </c>
      <c r="V1166" s="5" t="s">
        <v>14573</v>
      </c>
      <c r="W1166" s="5" t="s">
        <v>14574</v>
      </c>
      <c r="X1166" s="5" t="s">
        <v>14574</v>
      </c>
      <c r="Y1166" s="4">
        <v>130</v>
      </c>
      <c r="Z1166" s="4">
        <v>108</v>
      </c>
      <c r="AA1166" s="4">
        <v>108</v>
      </c>
      <c r="AB1166" s="4">
        <v>1</v>
      </c>
      <c r="AC1166" s="4">
        <v>1</v>
      </c>
      <c r="AD1166" s="4">
        <v>11</v>
      </c>
      <c r="AE1166" s="4">
        <v>11</v>
      </c>
      <c r="AF1166" s="4">
        <v>3</v>
      </c>
      <c r="AG1166" s="4">
        <v>3</v>
      </c>
      <c r="AH1166" s="4">
        <v>4</v>
      </c>
      <c r="AI1166" s="4">
        <v>4</v>
      </c>
      <c r="AJ1166" s="4">
        <v>7</v>
      </c>
      <c r="AK1166" s="4">
        <v>7</v>
      </c>
      <c r="AL1166" s="4">
        <v>0</v>
      </c>
      <c r="AM1166" s="4">
        <v>0</v>
      </c>
      <c r="AN1166" s="4">
        <v>0</v>
      </c>
      <c r="AO1166" s="4">
        <v>0</v>
      </c>
      <c r="AP1166" s="3" t="s">
        <v>58</v>
      </c>
      <c r="AQ1166" s="3" t="s">
        <v>58</v>
      </c>
      <c r="AS1166" s="6" t="str">
        <f>HYPERLINK("https://creighton-primo.hosted.exlibrisgroup.com/primo-explore/search?tab=default_tab&amp;search_scope=EVERYTHING&amp;vid=01CRU&amp;lang=en_US&amp;offset=0&amp;query=any,contains,991002508719702656","Catalog Record")</f>
        <v>Catalog Record</v>
      </c>
      <c r="AT1166" s="6" t="str">
        <f>HYPERLINK("http://www.worldcat.org/oclc/32625720","WorldCat Record")</f>
        <v>WorldCat Record</v>
      </c>
      <c r="AU1166" s="3" t="s">
        <v>14575</v>
      </c>
      <c r="AV1166" s="3" t="s">
        <v>14576</v>
      </c>
      <c r="AW1166" s="3" t="s">
        <v>14577</v>
      </c>
      <c r="AX1166" s="3" t="s">
        <v>14577</v>
      </c>
      <c r="AY1166" s="3" t="s">
        <v>14578</v>
      </c>
      <c r="AZ1166" s="3" t="s">
        <v>75</v>
      </c>
      <c r="BB1166" s="3" t="s">
        <v>14579</v>
      </c>
      <c r="BC1166" s="3" t="s">
        <v>14580</v>
      </c>
      <c r="BD1166" s="3" t="s">
        <v>14581</v>
      </c>
    </row>
    <row r="1167" spans="1:56" ht="39" customHeight="1" x14ac:dyDescent="0.25">
      <c r="A1167" s="7" t="s">
        <v>58</v>
      </c>
      <c r="B1167" s="2" t="s">
        <v>14582</v>
      </c>
      <c r="C1167" s="2" t="s">
        <v>14583</v>
      </c>
      <c r="D1167" s="2" t="s">
        <v>14584</v>
      </c>
      <c r="F1167" s="3" t="s">
        <v>58</v>
      </c>
      <c r="G1167" s="3" t="s">
        <v>59</v>
      </c>
      <c r="H1167" s="3" t="s">
        <v>58</v>
      </c>
      <c r="I1167" s="3" t="s">
        <v>58</v>
      </c>
      <c r="J1167" s="3" t="s">
        <v>60</v>
      </c>
      <c r="K1167" s="2" t="s">
        <v>14585</v>
      </c>
      <c r="L1167" s="2" t="s">
        <v>14586</v>
      </c>
      <c r="M1167" s="3" t="s">
        <v>361</v>
      </c>
      <c r="O1167" s="3" t="s">
        <v>65</v>
      </c>
      <c r="P1167" s="3" t="s">
        <v>66</v>
      </c>
      <c r="Q1167" s="2" t="s">
        <v>14587</v>
      </c>
      <c r="R1167" s="3" t="s">
        <v>68</v>
      </c>
      <c r="S1167" s="4">
        <v>5</v>
      </c>
      <c r="T1167" s="4">
        <v>5</v>
      </c>
      <c r="U1167" s="5" t="s">
        <v>14588</v>
      </c>
      <c r="V1167" s="5" t="s">
        <v>14588</v>
      </c>
      <c r="W1167" s="5" t="s">
        <v>260</v>
      </c>
      <c r="X1167" s="5" t="s">
        <v>260</v>
      </c>
      <c r="Y1167" s="4">
        <v>306</v>
      </c>
      <c r="Z1167" s="4">
        <v>205</v>
      </c>
      <c r="AA1167" s="4">
        <v>227</v>
      </c>
      <c r="AB1167" s="4">
        <v>1</v>
      </c>
      <c r="AC1167" s="4">
        <v>1</v>
      </c>
      <c r="AD1167" s="4">
        <v>14</v>
      </c>
      <c r="AE1167" s="4">
        <v>15</v>
      </c>
      <c r="AF1167" s="4">
        <v>4</v>
      </c>
      <c r="AG1167" s="4">
        <v>5</v>
      </c>
      <c r="AH1167" s="4">
        <v>3</v>
      </c>
      <c r="AI1167" s="4">
        <v>3</v>
      </c>
      <c r="AJ1167" s="4">
        <v>12</v>
      </c>
      <c r="AK1167" s="4">
        <v>13</v>
      </c>
      <c r="AL1167" s="4">
        <v>0</v>
      </c>
      <c r="AM1167" s="4">
        <v>0</v>
      </c>
      <c r="AN1167" s="4">
        <v>0</v>
      </c>
      <c r="AO1167" s="4">
        <v>0</v>
      </c>
      <c r="AP1167" s="3" t="s">
        <v>58</v>
      </c>
      <c r="AQ1167" s="3" t="s">
        <v>58</v>
      </c>
      <c r="AS1167" s="6" t="str">
        <f>HYPERLINK("https://creighton-primo.hosted.exlibrisgroup.com/primo-explore/search?tab=default_tab&amp;search_scope=EVERYTHING&amp;vid=01CRU&amp;lang=en_US&amp;offset=0&amp;query=any,contains,991000247979702656","Catalog Record")</f>
        <v>Catalog Record</v>
      </c>
      <c r="AT1167" s="6" t="str">
        <f>HYPERLINK("http://www.worldcat.org/oclc/9731550","WorldCat Record")</f>
        <v>WorldCat Record</v>
      </c>
      <c r="AU1167" s="3" t="s">
        <v>14589</v>
      </c>
      <c r="AV1167" s="3" t="s">
        <v>14590</v>
      </c>
      <c r="AW1167" s="3" t="s">
        <v>14591</v>
      </c>
      <c r="AX1167" s="3" t="s">
        <v>14591</v>
      </c>
      <c r="AY1167" s="3" t="s">
        <v>14592</v>
      </c>
      <c r="AZ1167" s="3" t="s">
        <v>75</v>
      </c>
      <c r="BB1167" s="3" t="s">
        <v>14593</v>
      </c>
      <c r="BC1167" s="3" t="s">
        <v>14594</v>
      </c>
      <c r="BD1167" s="3" t="s">
        <v>14595</v>
      </c>
    </row>
    <row r="1168" spans="1:56" ht="39" customHeight="1" x14ac:dyDescent="0.25">
      <c r="A1168" s="7" t="s">
        <v>58</v>
      </c>
      <c r="B1168" s="2" t="s">
        <v>14596</v>
      </c>
      <c r="C1168" s="2" t="s">
        <v>14597</v>
      </c>
      <c r="D1168" s="2" t="s">
        <v>14598</v>
      </c>
      <c r="F1168" s="3" t="s">
        <v>58</v>
      </c>
      <c r="G1168" s="3" t="s">
        <v>59</v>
      </c>
      <c r="H1168" s="3" t="s">
        <v>58</v>
      </c>
      <c r="I1168" s="3" t="s">
        <v>58</v>
      </c>
      <c r="J1168" s="3" t="s">
        <v>60</v>
      </c>
      <c r="K1168" s="2" t="s">
        <v>9449</v>
      </c>
      <c r="L1168" s="2" t="s">
        <v>14599</v>
      </c>
      <c r="M1168" s="3" t="s">
        <v>3656</v>
      </c>
      <c r="N1168" s="2" t="s">
        <v>14600</v>
      </c>
      <c r="O1168" s="3" t="s">
        <v>65</v>
      </c>
      <c r="P1168" s="3" t="s">
        <v>201</v>
      </c>
      <c r="R1168" s="3" t="s">
        <v>68</v>
      </c>
      <c r="S1168" s="4">
        <v>3</v>
      </c>
      <c r="T1168" s="4">
        <v>3</v>
      </c>
      <c r="U1168" s="5" t="s">
        <v>14573</v>
      </c>
      <c r="V1168" s="5" t="s">
        <v>14573</v>
      </c>
      <c r="W1168" s="5" t="s">
        <v>5814</v>
      </c>
      <c r="X1168" s="5" t="s">
        <v>5814</v>
      </c>
      <c r="Y1168" s="4">
        <v>96</v>
      </c>
      <c r="Z1168" s="4">
        <v>91</v>
      </c>
      <c r="AA1168" s="4">
        <v>364</v>
      </c>
      <c r="AB1168" s="4">
        <v>1</v>
      </c>
      <c r="AC1168" s="4">
        <v>6</v>
      </c>
      <c r="AD1168" s="4">
        <v>5</v>
      </c>
      <c r="AE1168" s="4">
        <v>22</v>
      </c>
      <c r="AF1168" s="4">
        <v>1</v>
      </c>
      <c r="AG1168" s="4">
        <v>6</v>
      </c>
      <c r="AH1168" s="4">
        <v>2</v>
      </c>
      <c r="AI1168" s="4">
        <v>6</v>
      </c>
      <c r="AJ1168" s="4">
        <v>4</v>
      </c>
      <c r="AK1168" s="4">
        <v>11</v>
      </c>
      <c r="AL1168" s="4">
        <v>0</v>
      </c>
      <c r="AM1168" s="4">
        <v>4</v>
      </c>
      <c r="AN1168" s="4">
        <v>0</v>
      </c>
      <c r="AO1168" s="4">
        <v>0</v>
      </c>
      <c r="AP1168" s="3" t="s">
        <v>58</v>
      </c>
      <c r="AQ1168" s="3" t="s">
        <v>58</v>
      </c>
      <c r="AS1168" s="6" t="str">
        <f>HYPERLINK("https://creighton-primo.hosted.exlibrisgroup.com/primo-explore/search?tab=default_tab&amp;search_scope=EVERYTHING&amp;vid=01CRU&amp;lang=en_US&amp;offset=0&amp;query=any,contains,991004263849702656","Catalog Record")</f>
        <v>Catalog Record</v>
      </c>
      <c r="AT1168" s="6" t="str">
        <f>HYPERLINK("http://www.worldcat.org/oclc/36343296","WorldCat Record")</f>
        <v>WorldCat Record</v>
      </c>
      <c r="AU1168" s="3" t="s">
        <v>14601</v>
      </c>
      <c r="AV1168" s="3" t="s">
        <v>14602</v>
      </c>
      <c r="AW1168" s="3" t="s">
        <v>14603</v>
      </c>
      <c r="AX1168" s="3" t="s">
        <v>14603</v>
      </c>
      <c r="AY1168" s="3" t="s">
        <v>14604</v>
      </c>
      <c r="AZ1168" s="3" t="s">
        <v>75</v>
      </c>
      <c r="BB1168" s="3" t="s">
        <v>14605</v>
      </c>
      <c r="BC1168" s="3" t="s">
        <v>14606</v>
      </c>
      <c r="BD1168" s="3" t="s">
        <v>14607</v>
      </c>
    </row>
    <row r="1169" spans="1:56" ht="39" customHeight="1" x14ac:dyDescent="0.25">
      <c r="A1169" s="7" t="s">
        <v>58</v>
      </c>
      <c r="B1169" s="2" t="s">
        <v>14608</v>
      </c>
      <c r="C1169" s="2" t="s">
        <v>14609</v>
      </c>
      <c r="D1169" s="2" t="s">
        <v>14610</v>
      </c>
      <c r="F1169" s="3" t="s">
        <v>58</v>
      </c>
      <c r="G1169" s="3" t="s">
        <v>59</v>
      </c>
      <c r="H1169" s="3" t="s">
        <v>58</v>
      </c>
      <c r="I1169" s="3" t="s">
        <v>58</v>
      </c>
      <c r="J1169" s="3" t="s">
        <v>60</v>
      </c>
      <c r="K1169" s="2" t="s">
        <v>1762</v>
      </c>
      <c r="L1169" s="2" t="s">
        <v>14611</v>
      </c>
      <c r="M1169" s="3" t="s">
        <v>1261</v>
      </c>
      <c r="O1169" s="3" t="s">
        <v>65</v>
      </c>
      <c r="P1169" s="3" t="s">
        <v>967</v>
      </c>
      <c r="R1169" s="3" t="s">
        <v>68</v>
      </c>
      <c r="S1169" s="4">
        <v>3</v>
      </c>
      <c r="T1169" s="4">
        <v>3</v>
      </c>
      <c r="U1169" s="5" t="s">
        <v>14573</v>
      </c>
      <c r="V1169" s="5" t="s">
        <v>14573</v>
      </c>
      <c r="W1169" s="5" t="s">
        <v>4309</v>
      </c>
      <c r="X1169" s="5" t="s">
        <v>4309</v>
      </c>
      <c r="Y1169" s="4">
        <v>89</v>
      </c>
      <c r="Z1169" s="4">
        <v>77</v>
      </c>
      <c r="AA1169" s="4">
        <v>77</v>
      </c>
      <c r="AB1169" s="4">
        <v>1</v>
      </c>
      <c r="AC1169" s="4">
        <v>1</v>
      </c>
      <c r="AD1169" s="4">
        <v>8</v>
      </c>
      <c r="AE1169" s="4">
        <v>8</v>
      </c>
      <c r="AF1169" s="4">
        <v>2</v>
      </c>
      <c r="AG1169" s="4">
        <v>2</v>
      </c>
      <c r="AH1169" s="4">
        <v>1</v>
      </c>
      <c r="AI1169" s="4">
        <v>1</v>
      </c>
      <c r="AJ1169" s="4">
        <v>5</v>
      </c>
      <c r="AK1169" s="4">
        <v>5</v>
      </c>
      <c r="AL1169" s="4">
        <v>0</v>
      </c>
      <c r="AM1169" s="4">
        <v>0</v>
      </c>
      <c r="AN1169" s="4">
        <v>0</v>
      </c>
      <c r="AO1169" s="4">
        <v>0</v>
      </c>
      <c r="AP1169" s="3" t="s">
        <v>58</v>
      </c>
      <c r="AQ1169" s="3" t="s">
        <v>58</v>
      </c>
      <c r="AS1169" s="6" t="str">
        <f>HYPERLINK("https://creighton-primo.hosted.exlibrisgroup.com/primo-explore/search?tab=default_tab&amp;search_scope=EVERYTHING&amp;vid=01CRU&amp;lang=en_US&amp;offset=0&amp;query=any,contains,991004295819702656","Catalog Record")</f>
        <v>Catalog Record</v>
      </c>
      <c r="AT1169" s="6" t="str">
        <f>HYPERLINK("http://www.worldcat.org/oclc/24759379","WorldCat Record")</f>
        <v>WorldCat Record</v>
      </c>
      <c r="AU1169" s="3" t="s">
        <v>14612</v>
      </c>
      <c r="AV1169" s="3" t="s">
        <v>14613</v>
      </c>
      <c r="AW1169" s="3" t="s">
        <v>14614</v>
      </c>
      <c r="AX1169" s="3" t="s">
        <v>14614</v>
      </c>
      <c r="AY1169" s="3" t="s">
        <v>14615</v>
      </c>
      <c r="AZ1169" s="3" t="s">
        <v>75</v>
      </c>
      <c r="BB1169" s="3" t="s">
        <v>14616</v>
      </c>
      <c r="BC1169" s="3" t="s">
        <v>14617</v>
      </c>
      <c r="BD1169" s="3" t="s">
        <v>14618</v>
      </c>
    </row>
    <row r="1170" spans="1:56" ht="39" customHeight="1" x14ac:dyDescent="0.25">
      <c r="A1170" s="7" t="s">
        <v>58</v>
      </c>
      <c r="B1170" s="2" t="s">
        <v>14619</v>
      </c>
      <c r="C1170" s="2" t="s">
        <v>14620</v>
      </c>
      <c r="D1170" s="2" t="s">
        <v>14621</v>
      </c>
      <c r="F1170" s="3" t="s">
        <v>58</v>
      </c>
      <c r="G1170" s="3" t="s">
        <v>59</v>
      </c>
      <c r="H1170" s="3" t="s">
        <v>58</v>
      </c>
      <c r="I1170" s="3" t="s">
        <v>58</v>
      </c>
      <c r="J1170" s="3" t="s">
        <v>60</v>
      </c>
      <c r="K1170" s="2" t="s">
        <v>14622</v>
      </c>
      <c r="L1170" s="2" t="s">
        <v>14623</v>
      </c>
      <c r="M1170" s="3" t="s">
        <v>781</v>
      </c>
      <c r="O1170" s="3" t="s">
        <v>65</v>
      </c>
      <c r="P1170" s="3" t="s">
        <v>84</v>
      </c>
      <c r="R1170" s="3" t="s">
        <v>68</v>
      </c>
      <c r="S1170" s="4">
        <v>5</v>
      </c>
      <c r="T1170" s="4">
        <v>5</v>
      </c>
      <c r="U1170" s="5" t="s">
        <v>8788</v>
      </c>
      <c r="V1170" s="5" t="s">
        <v>8788</v>
      </c>
      <c r="W1170" s="5" t="s">
        <v>260</v>
      </c>
      <c r="X1170" s="5" t="s">
        <v>260</v>
      </c>
      <c r="Y1170" s="4">
        <v>359</v>
      </c>
      <c r="Z1170" s="4">
        <v>296</v>
      </c>
      <c r="AA1170" s="4">
        <v>304</v>
      </c>
      <c r="AB1170" s="4">
        <v>1</v>
      </c>
      <c r="AC1170" s="4">
        <v>1</v>
      </c>
      <c r="AD1170" s="4">
        <v>30</v>
      </c>
      <c r="AE1170" s="4">
        <v>31</v>
      </c>
      <c r="AF1170" s="4">
        <v>13</v>
      </c>
      <c r="AG1170" s="4">
        <v>14</v>
      </c>
      <c r="AH1170" s="4">
        <v>6</v>
      </c>
      <c r="AI1170" s="4">
        <v>6</v>
      </c>
      <c r="AJ1170" s="4">
        <v>21</v>
      </c>
      <c r="AK1170" s="4">
        <v>22</v>
      </c>
      <c r="AL1170" s="4">
        <v>0</v>
      </c>
      <c r="AM1170" s="4">
        <v>0</v>
      </c>
      <c r="AN1170" s="4">
        <v>0</v>
      </c>
      <c r="AO1170" s="4">
        <v>0</v>
      </c>
      <c r="AP1170" s="3" t="s">
        <v>58</v>
      </c>
      <c r="AQ1170" s="3" t="s">
        <v>58</v>
      </c>
      <c r="AS1170" s="6" t="str">
        <f>HYPERLINK("https://creighton-primo.hosted.exlibrisgroup.com/primo-explore/search?tab=default_tab&amp;search_scope=EVERYTHING&amp;vid=01CRU&amp;lang=en_US&amp;offset=0&amp;query=any,contains,991000455389702656","Catalog Record")</f>
        <v>Catalog Record</v>
      </c>
      <c r="AT1170" s="6" t="str">
        <f>HYPERLINK("http://www.worldcat.org/oclc/10913687","WorldCat Record")</f>
        <v>WorldCat Record</v>
      </c>
      <c r="AU1170" s="3" t="s">
        <v>14624</v>
      </c>
      <c r="AV1170" s="3" t="s">
        <v>14625</v>
      </c>
      <c r="AW1170" s="3" t="s">
        <v>14626</v>
      </c>
      <c r="AX1170" s="3" t="s">
        <v>14626</v>
      </c>
      <c r="AY1170" s="3" t="s">
        <v>14627</v>
      </c>
      <c r="AZ1170" s="3" t="s">
        <v>75</v>
      </c>
      <c r="BB1170" s="3" t="s">
        <v>14628</v>
      </c>
      <c r="BC1170" s="3" t="s">
        <v>14629</v>
      </c>
      <c r="BD1170" s="3" t="s">
        <v>14630</v>
      </c>
    </row>
    <row r="1171" spans="1:56" ht="39" customHeight="1" x14ac:dyDescent="0.25">
      <c r="A1171" s="7" t="s">
        <v>58</v>
      </c>
      <c r="B1171" s="2" t="s">
        <v>14631</v>
      </c>
      <c r="C1171" s="2" t="s">
        <v>14632</v>
      </c>
      <c r="D1171" s="2" t="s">
        <v>14633</v>
      </c>
      <c r="F1171" s="3" t="s">
        <v>58</v>
      </c>
      <c r="G1171" s="3" t="s">
        <v>59</v>
      </c>
      <c r="H1171" s="3" t="s">
        <v>58</v>
      </c>
      <c r="I1171" s="3" t="s">
        <v>58</v>
      </c>
      <c r="J1171" s="3" t="s">
        <v>60</v>
      </c>
      <c r="K1171" s="2" t="s">
        <v>13510</v>
      </c>
      <c r="L1171" s="2" t="s">
        <v>14634</v>
      </c>
      <c r="M1171" s="3" t="s">
        <v>462</v>
      </c>
      <c r="N1171" s="2" t="s">
        <v>1976</v>
      </c>
      <c r="O1171" s="3" t="s">
        <v>65</v>
      </c>
      <c r="P1171" s="3" t="s">
        <v>158</v>
      </c>
      <c r="R1171" s="3" t="s">
        <v>68</v>
      </c>
      <c r="S1171" s="4">
        <v>6</v>
      </c>
      <c r="T1171" s="4">
        <v>6</v>
      </c>
      <c r="U1171" s="5" t="s">
        <v>14635</v>
      </c>
      <c r="V1171" s="5" t="s">
        <v>14635</v>
      </c>
      <c r="W1171" s="5" t="s">
        <v>260</v>
      </c>
      <c r="X1171" s="5" t="s">
        <v>260</v>
      </c>
      <c r="Y1171" s="4">
        <v>266</v>
      </c>
      <c r="Z1171" s="4">
        <v>236</v>
      </c>
      <c r="AA1171" s="4">
        <v>264</v>
      </c>
      <c r="AB1171" s="4">
        <v>4</v>
      </c>
      <c r="AC1171" s="4">
        <v>4</v>
      </c>
      <c r="AD1171" s="4">
        <v>18</v>
      </c>
      <c r="AE1171" s="4">
        <v>19</v>
      </c>
      <c r="AF1171" s="4">
        <v>6</v>
      </c>
      <c r="AG1171" s="4">
        <v>6</v>
      </c>
      <c r="AH1171" s="4">
        <v>4</v>
      </c>
      <c r="AI1171" s="4">
        <v>4</v>
      </c>
      <c r="AJ1171" s="4">
        <v>14</v>
      </c>
      <c r="AK1171" s="4">
        <v>15</v>
      </c>
      <c r="AL1171" s="4">
        <v>1</v>
      </c>
      <c r="AM1171" s="4">
        <v>1</v>
      </c>
      <c r="AN1171" s="4">
        <v>0</v>
      </c>
      <c r="AO1171" s="4">
        <v>0</v>
      </c>
      <c r="AP1171" s="3" t="s">
        <v>58</v>
      </c>
      <c r="AQ1171" s="3" t="s">
        <v>58</v>
      </c>
      <c r="AS1171" s="6" t="str">
        <f>HYPERLINK("https://creighton-primo.hosted.exlibrisgroup.com/primo-explore/search?tab=default_tab&amp;search_scope=EVERYTHING&amp;vid=01CRU&amp;lang=en_US&amp;offset=0&amp;query=any,contains,991000454399702656","Catalog Record")</f>
        <v>Catalog Record</v>
      </c>
      <c r="AT1171" s="6" t="str">
        <f>HYPERLINK("http://www.worldcat.org/oclc/10913115","WorldCat Record")</f>
        <v>WorldCat Record</v>
      </c>
      <c r="AU1171" s="3" t="s">
        <v>14636</v>
      </c>
      <c r="AV1171" s="3" t="s">
        <v>14637</v>
      </c>
      <c r="AW1171" s="3" t="s">
        <v>14638</v>
      </c>
      <c r="AX1171" s="3" t="s">
        <v>14638</v>
      </c>
      <c r="AY1171" s="3" t="s">
        <v>14639</v>
      </c>
      <c r="AZ1171" s="3" t="s">
        <v>75</v>
      </c>
      <c r="BB1171" s="3" t="s">
        <v>14640</v>
      </c>
      <c r="BC1171" s="3" t="s">
        <v>14641</v>
      </c>
      <c r="BD1171" s="3" t="s">
        <v>14642</v>
      </c>
    </row>
    <row r="1172" spans="1:56" ht="39" customHeight="1" x14ac:dyDescent="0.25">
      <c r="A1172" s="7" t="s">
        <v>58</v>
      </c>
      <c r="B1172" s="2" t="s">
        <v>14643</v>
      </c>
      <c r="C1172" s="2" t="s">
        <v>14644</v>
      </c>
      <c r="D1172" s="2" t="s">
        <v>14645</v>
      </c>
      <c r="F1172" s="3" t="s">
        <v>58</v>
      </c>
      <c r="G1172" s="3" t="s">
        <v>59</v>
      </c>
      <c r="H1172" s="3" t="s">
        <v>58</v>
      </c>
      <c r="I1172" s="3" t="s">
        <v>58</v>
      </c>
      <c r="J1172" s="3" t="s">
        <v>60</v>
      </c>
      <c r="K1172" s="2" t="s">
        <v>14646</v>
      </c>
      <c r="L1172" s="2" t="s">
        <v>14647</v>
      </c>
      <c r="M1172" s="3" t="s">
        <v>759</v>
      </c>
      <c r="O1172" s="3" t="s">
        <v>65</v>
      </c>
      <c r="P1172" s="3" t="s">
        <v>66</v>
      </c>
      <c r="Q1172" s="2" t="s">
        <v>14648</v>
      </c>
      <c r="R1172" s="3" t="s">
        <v>68</v>
      </c>
      <c r="S1172" s="4">
        <v>2</v>
      </c>
      <c r="T1172" s="4">
        <v>2</v>
      </c>
      <c r="U1172" s="5" t="s">
        <v>14649</v>
      </c>
      <c r="V1172" s="5" t="s">
        <v>14649</v>
      </c>
      <c r="W1172" s="5" t="s">
        <v>14650</v>
      </c>
      <c r="X1172" s="5" t="s">
        <v>14650</v>
      </c>
      <c r="Y1172" s="4">
        <v>110</v>
      </c>
      <c r="Z1172" s="4">
        <v>68</v>
      </c>
      <c r="AA1172" s="4">
        <v>79</v>
      </c>
      <c r="AB1172" s="4">
        <v>1</v>
      </c>
      <c r="AC1172" s="4">
        <v>1</v>
      </c>
      <c r="AD1172" s="4">
        <v>5</v>
      </c>
      <c r="AE1172" s="4">
        <v>5</v>
      </c>
      <c r="AF1172" s="4">
        <v>2</v>
      </c>
      <c r="AG1172" s="4">
        <v>2</v>
      </c>
      <c r="AH1172" s="4">
        <v>2</v>
      </c>
      <c r="AI1172" s="4">
        <v>2</v>
      </c>
      <c r="AJ1172" s="4">
        <v>4</v>
      </c>
      <c r="AK1172" s="4">
        <v>4</v>
      </c>
      <c r="AL1172" s="4">
        <v>0</v>
      </c>
      <c r="AM1172" s="4">
        <v>0</v>
      </c>
      <c r="AN1172" s="4">
        <v>0</v>
      </c>
      <c r="AO1172" s="4">
        <v>0</v>
      </c>
      <c r="AP1172" s="3" t="s">
        <v>58</v>
      </c>
      <c r="AQ1172" s="3" t="s">
        <v>132</v>
      </c>
      <c r="AR1172" s="6" t="str">
        <f>HYPERLINK("http://catalog.hathitrust.org/Record/002059046","HathiTrust Record")</f>
        <v>HathiTrust Record</v>
      </c>
      <c r="AS1172" s="6" t="str">
        <f>HYPERLINK("https://creighton-primo.hosted.exlibrisgroup.com/primo-explore/search?tab=default_tab&amp;search_scope=EVERYTHING&amp;vid=01CRU&amp;lang=en_US&amp;offset=0&amp;query=any,contains,991001401289702656","Catalog Record")</f>
        <v>Catalog Record</v>
      </c>
      <c r="AT1172" s="6" t="str">
        <f>HYPERLINK("http://www.worldcat.org/oclc/18822514","WorldCat Record")</f>
        <v>WorldCat Record</v>
      </c>
      <c r="AU1172" s="3" t="s">
        <v>14651</v>
      </c>
      <c r="AV1172" s="3" t="s">
        <v>14652</v>
      </c>
      <c r="AW1172" s="3" t="s">
        <v>14653</v>
      </c>
      <c r="AX1172" s="3" t="s">
        <v>14653</v>
      </c>
      <c r="AY1172" s="3" t="s">
        <v>14654</v>
      </c>
      <c r="AZ1172" s="3" t="s">
        <v>75</v>
      </c>
      <c r="BB1172" s="3" t="s">
        <v>14655</v>
      </c>
      <c r="BC1172" s="3" t="s">
        <v>14656</v>
      </c>
      <c r="BD1172" s="3" t="s">
        <v>14657</v>
      </c>
    </row>
    <row r="1173" spans="1:56" ht="39" customHeight="1" x14ac:dyDescent="0.25">
      <c r="A1173" s="7" t="s">
        <v>58</v>
      </c>
      <c r="B1173" s="2" t="s">
        <v>14658</v>
      </c>
      <c r="C1173" s="2" t="s">
        <v>14659</v>
      </c>
      <c r="D1173" s="2" t="s">
        <v>14660</v>
      </c>
      <c r="F1173" s="3" t="s">
        <v>58</v>
      </c>
      <c r="G1173" s="3" t="s">
        <v>59</v>
      </c>
      <c r="H1173" s="3" t="s">
        <v>58</v>
      </c>
      <c r="I1173" s="3" t="s">
        <v>58</v>
      </c>
      <c r="J1173" s="3" t="s">
        <v>60</v>
      </c>
      <c r="K1173" s="2" t="s">
        <v>14661</v>
      </c>
      <c r="L1173" s="2" t="s">
        <v>14662</v>
      </c>
      <c r="M1173" s="3" t="s">
        <v>289</v>
      </c>
      <c r="O1173" s="3" t="s">
        <v>65</v>
      </c>
      <c r="P1173" s="3" t="s">
        <v>186</v>
      </c>
      <c r="R1173" s="3" t="s">
        <v>68</v>
      </c>
      <c r="S1173" s="4">
        <v>6</v>
      </c>
      <c r="T1173" s="4">
        <v>6</v>
      </c>
      <c r="U1173" s="5" t="s">
        <v>11955</v>
      </c>
      <c r="V1173" s="5" t="s">
        <v>11955</v>
      </c>
      <c r="W1173" s="5" t="s">
        <v>14663</v>
      </c>
      <c r="X1173" s="5" t="s">
        <v>14663</v>
      </c>
      <c r="Y1173" s="4">
        <v>303</v>
      </c>
      <c r="Z1173" s="4">
        <v>289</v>
      </c>
      <c r="AA1173" s="4">
        <v>399</v>
      </c>
      <c r="AB1173" s="4">
        <v>3</v>
      </c>
      <c r="AC1173" s="4">
        <v>4</v>
      </c>
      <c r="AD1173" s="4">
        <v>22</v>
      </c>
      <c r="AE1173" s="4">
        <v>31</v>
      </c>
      <c r="AF1173" s="4">
        <v>9</v>
      </c>
      <c r="AG1173" s="4">
        <v>12</v>
      </c>
      <c r="AH1173" s="4">
        <v>4</v>
      </c>
      <c r="AI1173" s="4">
        <v>7</v>
      </c>
      <c r="AJ1173" s="4">
        <v>13</v>
      </c>
      <c r="AK1173" s="4">
        <v>20</v>
      </c>
      <c r="AL1173" s="4">
        <v>1</v>
      </c>
      <c r="AM1173" s="4">
        <v>2</v>
      </c>
      <c r="AN1173" s="4">
        <v>0</v>
      </c>
      <c r="AO1173" s="4">
        <v>0</v>
      </c>
      <c r="AP1173" s="3" t="s">
        <v>58</v>
      </c>
      <c r="AQ1173" s="3" t="s">
        <v>58</v>
      </c>
      <c r="AS1173" s="6" t="str">
        <f>HYPERLINK("https://creighton-primo.hosted.exlibrisgroup.com/primo-explore/search?tab=default_tab&amp;search_scope=EVERYTHING&amp;vid=01CRU&amp;lang=en_US&amp;offset=0&amp;query=any,contains,991005112409702656","Catalog Record")</f>
        <v>Catalog Record</v>
      </c>
      <c r="AT1173" s="6" t="str">
        <f>HYPERLINK("http://www.worldcat.org/oclc/7459363","WorldCat Record")</f>
        <v>WorldCat Record</v>
      </c>
      <c r="AU1173" s="3" t="s">
        <v>14664</v>
      </c>
      <c r="AV1173" s="3" t="s">
        <v>14665</v>
      </c>
      <c r="AW1173" s="3" t="s">
        <v>14666</v>
      </c>
      <c r="AX1173" s="3" t="s">
        <v>14666</v>
      </c>
      <c r="AY1173" s="3" t="s">
        <v>14667</v>
      </c>
      <c r="AZ1173" s="3" t="s">
        <v>75</v>
      </c>
      <c r="BB1173" s="3" t="s">
        <v>14668</v>
      </c>
      <c r="BC1173" s="3" t="s">
        <v>14669</v>
      </c>
      <c r="BD1173" s="3" t="s">
        <v>14670</v>
      </c>
    </row>
    <row r="1174" spans="1:56" ht="39" customHeight="1" x14ac:dyDescent="0.25">
      <c r="A1174" s="7" t="s">
        <v>58</v>
      </c>
      <c r="B1174" s="2" t="s">
        <v>14671</v>
      </c>
      <c r="C1174" s="2" t="s">
        <v>14672</v>
      </c>
      <c r="D1174" s="2" t="s">
        <v>14673</v>
      </c>
      <c r="F1174" s="3" t="s">
        <v>58</v>
      </c>
      <c r="G1174" s="3" t="s">
        <v>59</v>
      </c>
      <c r="H1174" s="3" t="s">
        <v>58</v>
      </c>
      <c r="I1174" s="3" t="s">
        <v>58</v>
      </c>
      <c r="J1174" s="3" t="s">
        <v>60</v>
      </c>
      <c r="K1174" s="2" t="s">
        <v>14674</v>
      </c>
      <c r="L1174" s="2" t="s">
        <v>14675</v>
      </c>
      <c r="M1174" s="3" t="s">
        <v>415</v>
      </c>
      <c r="O1174" s="3" t="s">
        <v>1490</v>
      </c>
      <c r="P1174" s="3" t="s">
        <v>12607</v>
      </c>
      <c r="Q1174" s="2" t="s">
        <v>14676</v>
      </c>
      <c r="R1174" s="3" t="s">
        <v>68</v>
      </c>
      <c r="S1174" s="4">
        <v>1</v>
      </c>
      <c r="T1174" s="4">
        <v>1</v>
      </c>
      <c r="U1174" s="5" t="s">
        <v>14677</v>
      </c>
      <c r="V1174" s="5" t="s">
        <v>14677</v>
      </c>
      <c r="W1174" s="5" t="s">
        <v>260</v>
      </c>
      <c r="X1174" s="5" t="s">
        <v>260</v>
      </c>
      <c r="Y1174" s="4">
        <v>95</v>
      </c>
      <c r="Z1174" s="4">
        <v>70</v>
      </c>
      <c r="AA1174" s="4">
        <v>71</v>
      </c>
      <c r="AB1174" s="4">
        <v>1</v>
      </c>
      <c r="AC1174" s="4">
        <v>1</v>
      </c>
      <c r="AD1174" s="4">
        <v>10</v>
      </c>
      <c r="AE1174" s="4">
        <v>10</v>
      </c>
      <c r="AF1174" s="4">
        <v>1</v>
      </c>
      <c r="AG1174" s="4">
        <v>1</v>
      </c>
      <c r="AH1174" s="4">
        <v>2</v>
      </c>
      <c r="AI1174" s="4">
        <v>2</v>
      </c>
      <c r="AJ1174" s="4">
        <v>9</v>
      </c>
      <c r="AK1174" s="4">
        <v>9</v>
      </c>
      <c r="AL1174" s="4">
        <v>0</v>
      </c>
      <c r="AM1174" s="4">
        <v>0</v>
      </c>
      <c r="AN1174" s="4">
        <v>0</v>
      </c>
      <c r="AO1174" s="4">
        <v>0</v>
      </c>
      <c r="AP1174" s="3" t="s">
        <v>58</v>
      </c>
      <c r="AQ1174" s="3" t="s">
        <v>58</v>
      </c>
      <c r="AS1174" s="6" t="str">
        <f>HYPERLINK("https://creighton-primo.hosted.exlibrisgroup.com/primo-explore/search?tab=default_tab&amp;search_scope=EVERYTHING&amp;vid=01CRU&amp;lang=en_US&amp;offset=0&amp;query=any,contains,991004996029702656","Catalog Record")</f>
        <v>Catalog Record</v>
      </c>
      <c r="AT1174" s="6" t="str">
        <f>HYPERLINK("http://www.worldcat.org/oclc/6517791","WorldCat Record")</f>
        <v>WorldCat Record</v>
      </c>
      <c r="AU1174" s="3" t="s">
        <v>14678</v>
      </c>
      <c r="AV1174" s="3" t="s">
        <v>14679</v>
      </c>
      <c r="AW1174" s="3" t="s">
        <v>14680</v>
      </c>
      <c r="AX1174" s="3" t="s">
        <v>14680</v>
      </c>
      <c r="AY1174" s="3" t="s">
        <v>14681</v>
      </c>
      <c r="AZ1174" s="3" t="s">
        <v>75</v>
      </c>
      <c r="BC1174" s="3" t="s">
        <v>14682</v>
      </c>
      <c r="BD1174" s="3" t="s">
        <v>14683</v>
      </c>
    </row>
    <row r="1175" spans="1:56" ht="39" customHeight="1" x14ac:dyDescent="0.25">
      <c r="A1175" s="7" t="s">
        <v>58</v>
      </c>
      <c r="B1175" s="2" t="s">
        <v>14684</v>
      </c>
      <c r="C1175" s="2" t="s">
        <v>14685</v>
      </c>
      <c r="D1175" s="2" t="s">
        <v>14686</v>
      </c>
      <c r="F1175" s="3" t="s">
        <v>58</v>
      </c>
      <c r="G1175" s="3" t="s">
        <v>59</v>
      </c>
      <c r="H1175" s="3" t="s">
        <v>58</v>
      </c>
      <c r="I1175" s="3" t="s">
        <v>58</v>
      </c>
      <c r="J1175" s="3" t="s">
        <v>60</v>
      </c>
      <c r="L1175" s="2" t="s">
        <v>14687</v>
      </c>
      <c r="M1175" s="3" t="s">
        <v>439</v>
      </c>
      <c r="N1175" s="2" t="s">
        <v>14688</v>
      </c>
      <c r="O1175" s="3" t="s">
        <v>65</v>
      </c>
      <c r="P1175" s="3" t="s">
        <v>186</v>
      </c>
      <c r="R1175" s="3" t="s">
        <v>68</v>
      </c>
      <c r="S1175" s="4">
        <v>7</v>
      </c>
      <c r="T1175" s="4">
        <v>7</v>
      </c>
      <c r="U1175" s="5" t="s">
        <v>12149</v>
      </c>
      <c r="V1175" s="5" t="s">
        <v>12149</v>
      </c>
      <c r="W1175" s="5" t="s">
        <v>14322</v>
      </c>
      <c r="X1175" s="5" t="s">
        <v>14322</v>
      </c>
      <c r="Y1175" s="4">
        <v>240</v>
      </c>
      <c r="Z1175" s="4">
        <v>212</v>
      </c>
      <c r="AA1175" s="4">
        <v>214</v>
      </c>
      <c r="AB1175" s="4">
        <v>1</v>
      </c>
      <c r="AC1175" s="4">
        <v>1</v>
      </c>
      <c r="AD1175" s="4">
        <v>18</v>
      </c>
      <c r="AE1175" s="4">
        <v>18</v>
      </c>
      <c r="AF1175" s="4">
        <v>7</v>
      </c>
      <c r="AG1175" s="4">
        <v>7</v>
      </c>
      <c r="AH1175" s="4">
        <v>5</v>
      </c>
      <c r="AI1175" s="4">
        <v>5</v>
      </c>
      <c r="AJ1175" s="4">
        <v>13</v>
      </c>
      <c r="AK1175" s="4">
        <v>13</v>
      </c>
      <c r="AL1175" s="4">
        <v>0</v>
      </c>
      <c r="AM1175" s="4">
        <v>0</v>
      </c>
      <c r="AN1175" s="4">
        <v>0</v>
      </c>
      <c r="AO1175" s="4">
        <v>0</v>
      </c>
      <c r="AP1175" s="3" t="s">
        <v>58</v>
      </c>
      <c r="AQ1175" s="3" t="s">
        <v>132</v>
      </c>
      <c r="AR1175" s="6" t="str">
        <f>HYPERLINK("http://catalog.hathitrust.org/Record/000686630","HathiTrust Record")</f>
        <v>HathiTrust Record</v>
      </c>
      <c r="AS1175" s="6" t="str">
        <f>HYPERLINK("https://creighton-primo.hosted.exlibrisgroup.com/primo-explore/search?tab=default_tab&amp;search_scope=EVERYTHING&amp;vid=01CRU&amp;lang=en_US&amp;offset=0&amp;query=any,contains,991004845639702656","Catalog Record")</f>
        <v>Catalog Record</v>
      </c>
      <c r="AT1175" s="6" t="str">
        <f>HYPERLINK("http://www.worldcat.org/oclc/5564256","WorldCat Record")</f>
        <v>WorldCat Record</v>
      </c>
      <c r="AU1175" s="3" t="s">
        <v>14689</v>
      </c>
      <c r="AV1175" s="3" t="s">
        <v>14690</v>
      </c>
      <c r="AW1175" s="3" t="s">
        <v>14691</v>
      </c>
      <c r="AX1175" s="3" t="s">
        <v>14691</v>
      </c>
      <c r="AY1175" s="3" t="s">
        <v>14692</v>
      </c>
      <c r="AZ1175" s="3" t="s">
        <v>75</v>
      </c>
      <c r="BB1175" s="3" t="s">
        <v>14693</v>
      </c>
      <c r="BC1175" s="3" t="s">
        <v>14694</v>
      </c>
      <c r="BD1175" s="3" t="s">
        <v>14695</v>
      </c>
    </row>
    <row r="1176" spans="1:56" ht="39" customHeight="1" x14ac:dyDescent="0.25">
      <c r="A1176" s="7" t="s">
        <v>58</v>
      </c>
      <c r="B1176" s="2" t="s">
        <v>14696</v>
      </c>
      <c r="C1176" s="2" t="s">
        <v>14697</v>
      </c>
      <c r="D1176" s="2" t="s">
        <v>14698</v>
      </c>
      <c r="F1176" s="3" t="s">
        <v>58</v>
      </c>
      <c r="G1176" s="3" t="s">
        <v>59</v>
      </c>
      <c r="H1176" s="3" t="s">
        <v>58</v>
      </c>
      <c r="I1176" s="3" t="s">
        <v>58</v>
      </c>
      <c r="J1176" s="3" t="s">
        <v>60</v>
      </c>
      <c r="L1176" s="2" t="s">
        <v>14699</v>
      </c>
      <c r="M1176" s="3" t="s">
        <v>289</v>
      </c>
      <c r="O1176" s="3" t="s">
        <v>65</v>
      </c>
      <c r="P1176" s="3" t="s">
        <v>129</v>
      </c>
      <c r="Q1176" s="2" t="s">
        <v>14700</v>
      </c>
      <c r="R1176" s="3" t="s">
        <v>68</v>
      </c>
      <c r="S1176" s="4">
        <v>3</v>
      </c>
      <c r="T1176" s="4">
        <v>3</v>
      </c>
      <c r="U1176" s="5" t="s">
        <v>10565</v>
      </c>
      <c r="V1176" s="5" t="s">
        <v>10565</v>
      </c>
      <c r="W1176" s="5" t="s">
        <v>260</v>
      </c>
      <c r="X1176" s="5" t="s">
        <v>260</v>
      </c>
      <c r="Y1176" s="4">
        <v>110</v>
      </c>
      <c r="Z1176" s="4">
        <v>74</v>
      </c>
      <c r="AA1176" s="4">
        <v>75</v>
      </c>
      <c r="AB1176" s="4">
        <v>1</v>
      </c>
      <c r="AC1176" s="4">
        <v>1</v>
      </c>
      <c r="AD1176" s="4">
        <v>8</v>
      </c>
      <c r="AE1176" s="4">
        <v>8</v>
      </c>
      <c r="AF1176" s="4">
        <v>1</v>
      </c>
      <c r="AG1176" s="4">
        <v>1</v>
      </c>
      <c r="AH1176" s="4">
        <v>3</v>
      </c>
      <c r="AI1176" s="4">
        <v>3</v>
      </c>
      <c r="AJ1176" s="4">
        <v>5</v>
      </c>
      <c r="AK1176" s="4">
        <v>5</v>
      </c>
      <c r="AL1176" s="4">
        <v>0</v>
      </c>
      <c r="AM1176" s="4">
        <v>0</v>
      </c>
      <c r="AN1176" s="4">
        <v>0</v>
      </c>
      <c r="AO1176" s="4">
        <v>0</v>
      </c>
      <c r="AP1176" s="3" t="s">
        <v>58</v>
      </c>
      <c r="AQ1176" s="3" t="s">
        <v>58</v>
      </c>
      <c r="AS1176" s="6" t="str">
        <f>HYPERLINK("https://creighton-primo.hosted.exlibrisgroup.com/primo-explore/search?tab=default_tab&amp;search_scope=EVERYTHING&amp;vid=01CRU&amp;lang=en_US&amp;offset=0&amp;query=any,contains,991005188859702656","Catalog Record")</f>
        <v>Catalog Record</v>
      </c>
      <c r="AT1176" s="6" t="str">
        <f>HYPERLINK("http://www.worldcat.org/oclc/7985409","WorldCat Record")</f>
        <v>WorldCat Record</v>
      </c>
      <c r="AU1176" s="3" t="s">
        <v>14701</v>
      </c>
      <c r="AV1176" s="3" t="s">
        <v>14702</v>
      </c>
      <c r="AW1176" s="3" t="s">
        <v>14703</v>
      </c>
      <c r="AX1176" s="3" t="s">
        <v>14703</v>
      </c>
      <c r="AY1176" s="3" t="s">
        <v>14704</v>
      </c>
      <c r="AZ1176" s="3" t="s">
        <v>75</v>
      </c>
      <c r="BC1176" s="3" t="s">
        <v>14705</v>
      </c>
      <c r="BD1176" s="3" t="s">
        <v>14706</v>
      </c>
    </row>
    <row r="1177" spans="1:56" ht="39" customHeight="1" x14ac:dyDescent="0.25">
      <c r="A1177" s="7" t="s">
        <v>58</v>
      </c>
      <c r="B1177" s="2" t="s">
        <v>14707</v>
      </c>
      <c r="C1177" s="2" t="s">
        <v>14708</v>
      </c>
      <c r="D1177" s="2" t="s">
        <v>14709</v>
      </c>
      <c r="F1177" s="3" t="s">
        <v>58</v>
      </c>
      <c r="G1177" s="3" t="s">
        <v>59</v>
      </c>
      <c r="H1177" s="3" t="s">
        <v>58</v>
      </c>
      <c r="I1177" s="3" t="s">
        <v>58</v>
      </c>
      <c r="J1177" s="3" t="s">
        <v>60</v>
      </c>
      <c r="K1177" s="2" t="s">
        <v>14710</v>
      </c>
      <c r="L1177" s="2" t="s">
        <v>14711</v>
      </c>
      <c r="M1177" s="3" t="s">
        <v>374</v>
      </c>
      <c r="O1177" s="3" t="s">
        <v>65</v>
      </c>
      <c r="P1177" s="3" t="s">
        <v>201</v>
      </c>
      <c r="R1177" s="3" t="s">
        <v>68</v>
      </c>
      <c r="S1177" s="4">
        <v>3</v>
      </c>
      <c r="T1177" s="4">
        <v>3</v>
      </c>
      <c r="U1177" s="5" t="s">
        <v>14712</v>
      </c>
      <c r="V1177" s="5" t="s">
        <v>14712</v>
      </c>
      <c r="W1177" s="5" t="s">
        <v>14713</v>
      </c>
      <c r="X1177" s="5" t="s">
        <v>14713</v>
      </c>
      <c r="Y1177" s="4">
        <v>229</v>
      </c>
      <c r="Z1177" s="4">
        <v>165</v>
      </c>
      <c r="AA1177" s="4">
        <v>165</v>
      </c>
      <c r="AB1177" s="4">
        <v>2</v>
      </c>
      <c r="AC1177" s="4">
        <v>2</v>
      </c>
      <c r="AD1177" s="4">
        <v>21</v>
      </c>
      <c r="AE1177" s="4">
        <v>21</v>
      </c>
      <c r="AF1177" s="4">
        <v>9</v>
      </c>
      <c r="AG1177" s="4">
        <v>9</v>
      </c>
      <c r="AH1177" s="4">
        <v>5</v>
      </c>
      <c r="AI1177" s="4">
        <v>5</v>
      </c>
      <c r="AJ1177" s="4">
        <v>13</v>
      </c>
      <c r="AK1177" s="4">
        <v>13</v>
      </c>
      <c r="AL1177" s="4">
        <v>0</v>
      </c>
      <c r="AM1177" s="4">
        <v>0</v>
      </c>
      <c r="AN1177" s="4">
        <v>0</v>
      </c>
      <c r="AO1177" s="4">
        <v>0</v>
      </c>
      <c r="AP1177" s="3" t="s">
        <v>58</v>
      </c>
      <c r="AQ1177" s="3" t="s">
        <v>58</v>
      </c>
      <c r="AS1177" s="6" t="str">
        <f>HYPERLINK("https://creighton-primo.hosted.exlibrisgroup.com/primo-explore/search?tab=default_tab&amp;search_scope=EVERYTHING&amp;vid=01CRU&amp;lang=en_US&amp;offset=0&amp;query=any,contains,991002456499702656","Catalog Record")</f>
        <v>Catalog Record</v>
      </c>
      <c r="AT1177" s="6" t="str">
        <f>HYPERLINK("http://www.worldcat.org/oclc/32015546","WorldCat Record")</f>
        <v>WorldCat Record</v>
      </c>
      <c r="AU1177" s="3" t="s">
        <v>14714</v>
      </c>
      <c r="AV1177" s="3" t="s">
        <v>14715</v>
      </c>
      <c r="AW1177" s="3" t="s">
        <v>14716</v>
      </c>
      <c r="AX1177" s="3" t="s">
        <v>14716</v>
      </c>
      <c r="AY1177" s="3" t="s">
        <v>14717</v>
      </c>
      <c r="AZ1177" s="3" t="s">
        <v>75</v>
      </c>
      <c r="BB1177" s="3" t="s">
        <v>14718</v>
      </c>
      <c r="BC1177" s="3" t="s">
        <v>14719</v>
      </c>
      <c r="BD1177" s="3" t="s">
        <v>14720</v>
      </c>
    </row>
    <row r="1178" spans="1:56" ht="39" customHeight="1" x14ac:dyDescent="0.25">
      <c r="A1178" s="7" t="s">
        <v>58</v>
      </c>
      <c r="B1178" s="2" t="s">
        <v>14721</v>
      </c>
      <c r="C1178" s="2" t="s">
        <v>14722</v>
      </c>
      <c r="D1178" s="2" t="s">
        <v>14723</v>
      </c>
      <c r="F1178" s="3" t="s">
        <v>58</v>
      </c>
      <c r="G1178" s="3" t="s">
        <v>59</v>
      </c>
      <c r="H1178" s="3" t="s">
        <v>58</v>
      </c>
      <c r="I1178" s="3" t="s">
        <v>58</v>
      </c>
      <c r="J1178" s="3" t="s">
        <v>60</v>
      </c>
      <c r="L1178" s="2" t="s">
        <v>14724</v>
      </c>
      <c r="M1178" s="3" t="s">
        <v>1723</v>
      </c>
      <c r="O1178" s="3" t="s">
        <v>65</v>
      </c>
      <c r="P1178" s="3" t="s">
        <v>158</v>
      </c>
      <c r="Q1178" s="2" t="s">
        <v>14725</v>
      </c>
      <c r="R1178" s="3" t="s">
        <v>68</v>
      </c>
      <c r="S1178" s="4">
        <v>4</v>
      </c>
      <c r="T1178" s="4">
        <v>4</v>
      </c>
      <c r="U1178" s="5" t="s">
        <v>14726</v>
      </c>
      <c r="V1178" s="5" t="s">
        <v>14726</v>
      </c>
      <c r="W1178" s="5" t="s">
        <v>14727</v>
      </c>
      <c r="X1178" s="5" t="s">
        <v>14727</v>
      </c>
      <c r="Y1178" s="4">
        <v>315</v>
      </c>
      <c r="Z1178" s="4">
        <v>277</v>
      </c>
      <c r="AA1178" s="4">
        <v>277</v>
      </c>
      <c r="AB1178" s="4">
        <v>4</v>
      </c>
      <c r="AC1178" s="4">
        <v>4</v>
      </c>
      <c r="AD1178" s="4">
        <v>12</v>
      </c>
      <c r="AE1178" s="4">
        <v>12</v>
      </c>
      <c r="AF1178" s="4">
        <v>6</v>
      </c>
      <c r="AG1178" s="4">
        <v>6</v>
      </c>
      <c r="AH1178" s="4">
        <v>2</v>
      </c>
      <c r="AI1178" s="4">
        <v>2</v>
      </c>
      <c r="AJ1178" s="4">
        <v>6</v>
      </c>
      <c r="AK1178" s="4">
        <v>6</v>
      </c>
      <c r="AL1178" s="4">
        <v>2</v>
      </c>
      <c r="AM1178" s="4">
        <v>2</v>
      </c>
      <c r="AN1178" s="4">
        <v>0</v>
      </c>
      <c r="AO1178" s="4">
        <v>0</v>
      </c>
      <c r="AP1178" s="3" t="s">
        <v>58</v>
      </c>
      <c r="AQ1178" s="3" t="s">
        <v>58</v>
      </c>
      <c r="AS1178" s="6" t="str">
        <f>HYPERLINK("https://creighton-primo.hosted.exlibrisgroup.com/primo-explore/search?tab=default_tab&amp;search_scope=EVERYTHING&amp;vid=01CRU&amp;lang=en_US&amp;offset=0&amp;query=any,contains,991003620149702656","Catalog Record")</f>
        <v>Catalog Record</v>
      </c>
      <c r="AT1178" s="6" t="str">
        <f>HYPERLINK("http://www.worldcat.org/oclc/45284665","WorldCat Record")</f>
        <v>WorldCat Record</v>
      </c>
      <c r="AU1178" s="3" t="s">
        <v>14728</v>
      </c>
      <c r="AV1178" s="3" t="s">
        <v>14729</v>
      </c>
      <c r="AW1178" s="3" t="s">
        <v>14730</v>
      </c>
      <c r="AX1178" s="3" t="s">
        <v>14730</v>
      </c>
      <c r="AY1178" s="3" t="s">
        <v>14731</v>
      </c>
      <c r="AZ1178" s="3" t="s">
        <v>75</v>
      </c>
      <c r="BB1178" s="3" t="s">
        <v>14732</v>
      </c>
      <c r="BC1178" s="3" t="s">
        <v>14733</v>
      </c>
      <c r="BD1178" s="3" t="s">
        <v>14734</v>
      </c>
    </row>
    <row r="1179" spans="1:56" ht="39" customHeight="1" x14ac:dyDescent="0.25">
      <c r="A1179" s="7" t="s">
        <v>58</v>
      </c>
      <c r="B1179" s="2" t="s">
        <v>14735</v>
      </c>
      <c r="C1179" s="2" t="s">
        <v>14736</v>
      </c>
      <c r="D1179" s="2" t="s">
        <v>14737</v>
      </c>
      <c r="F1179" s="3" t="s">
        <v>58</v>
      </c>
      <c r="G1179" s="3" t="s">
        <v>59</v>
      </c>
      <c r="H1179" s="3" t="s">
        <v>58</v>
      </c>
      <c r="I1179" s="3" t="s">
        <v>58</v>
      </c>
      <c r="J1179" s="3" t="s">
        <v>60</v>
      </c>
      <c r="K1179" s="2" t="s">
        <v>9065</v>
      </c>
      <c r="L1179" s="2" t="s">
        <v>10436</v>
      </c>
      <c r="M1179" s="3" t="s">
        <v>157</v>
      </c>
      <c r="O1179" s="3" t="s">
        <v>65</v>
      </c>
      <c r="P1179" s="3" t="s">
        <v>186</v>
      </c>
      <c r="R1179" s="3" t="s">
        <v>68</v>
      </c>
      <c r="S1179" s="4">
        <v>8</v>
      </c>
      <c r="T1179" s="4">
        <v>8</v>
      </c>
      <c r="U1179" s="5" t="s">
        <v>14738</v>
      </c>
      <c r="V1179" s="5" t="s">
        <v>14738</v>
      </c>
      <c r="W1179" s="5" t="s">
        <v>14739</v>
      </c>
      <c r="X1179" s="5" t="s">
        <v>14739</v>
      </c>
      <c r="Y1179" s="4">
        <v>162</v>
      </c>
      <c r="Z1179" s="4">
        <v>150</v>
      </c>
      <c r="AA1179" s="4">
        <v>182</v>
      </c>
      <c r="AB1179" s="4">
        <v>1</v>
      </c>
      <c r="AC1179" s="4">
        <v>2</v>
      </c>
      <c r="AD1179" s="4">
        <v>15</v>
      </c>
      <c r="AE1179" s="4">
        <v>18</v>
      </c>
      <c r="AF1179" s="4">
        <v>1</v>
      </c>
      <c r="AG1179" s="4">
        <v>1</v>
      </c>
      <c r="AH1179" s="4">
        <v>7</v>
      </c>
      <c r="AI1179" s="4">
        <v>8</v>
      </c>
      <c r="AJ1179" s="4">
        <v>12</v>
      </c>
      <c r="AK1179" s="4">
        <v>13</v>
      </c>
      <c r="AL1179" s="4">
        <v>0</v>
      </c>
      <c r="AM1179" s="4">
        <v>1</v>
      </c>
      <c r="AN1179" s="4">
        <v>0</v>
      </c>
      <c r="AO1179" s="4">
        <v>0</v>
      </c>
      <c r="AP1179" s="3" t="s">
        <v>58</v>
      </c>
      <c r="AQ1179" s="3" t="s">
        <v>132</v>
      </c>
      <c r="AR1179" s="6" t="str">
        <f>HYPERLINK("http://catalog.hathitrust.org/Record/009801555","HathiTrust Record")</f>
        <v>HathiTrust Record</v>
      </c>
      <c r="AS1179" s="6" t="str">
        <f>HYPERLINK("https://creighton-primo.hosted.exlibrisgroup.com/primo-explore/search?tab=default_tab&amp;search_scope=EVERYTHING&amp;vid=01CRU&amp;lang=en_US&amp;offset=0&amp;query=any,contains,991004282149702656","Catalog Record")</f>
        <v>Catalog Record</v>
      </c>
      <c r="AT1179" s="6" t="str">
        <f>HYPERLINK("http://www.worldcat.org/oclc/8241292","WorldCat Record")</f>
        <v>WorldCat Record</v>
      </c>
      <c r="AU1179" s="3" t="s">
        <v>14740</v>
      </c>
      <c r="AV1179" s="3" t="s">
        <v>14741</v>
      </c>
      <c r="AW1179" s="3" t="s">
        <v>14742</v>
      </c>
      <c r="AX1179" s="3" t="s">
        <v>14742</v>
      </c>
      <c r="AY1179" s="3" t="s">
        <v>14743</v>
      </c>
      <c r="AZ1179" s="3" t="s">
        <v>75</v>
      </c>
      <c r="BB1179" s="3" t="s">
        <v>14744</v>
      </c>
      <c r="BC1179" s="3" t="s">
        <v>14745</v>
      </c>
      <c r="BD1179" s="3" t="s">
        <v>14746</v>
      </c>
    </row>
    <row r="1180" spans="1:56" ht="39" customHeight="1" x14ac:dyDescent="0.25">
      <c r="A1180" s="7" t="s">
        <v>58</v>
      </c>
      <c r="B1180" s="2" t="s">
        <v>14747</v>
      </c>
      <c r="C1180" s="2" t="s">
        <v>14748</v>
      </c>
      <c r="D1180" s="2" t="s">
        <v>14749</v>
      </c>
      <c r="F1180" s="3" t="s">
        <v>58</v>
      </c>
      <c r="G1180" s="3" t="s">
        <v>59</v>
      </c>
      <c r="H1180" s="3" t="s">
        <v>58</v>
      </c>
      <c r="I1180" s="3" t="s">
        <v>58</v>
      </c>
      <c r="J1180" s="3" t="s">
        <v>60</v>
      </c>
      <c r="K1180" s="2" t="s">
        <v>14750</v>
      </c>
      <c r="L1180" s="2" t="s">
        <v>14751</v>
      </c>
      <c r="M1180" s="3" t="s">
        <v>759</v>
      </c>
      <c r="O1180" s="3" t="s">
        <v>65</v>
      </c>
      <c r="P1180" s="3" t="s">
        <v>201</v>
      </c>
      <c r="R1180" s="3" t="s">
        <v>68</v>
      </c>
      <c r="S1180" s="4">
        <v>1</v>
      </c>
      <c r="T1180" s="4">
        <v>1</v>
      </c>
      <c r="U1180" s="5" t="s">
        <v>14752</v>
      </c>
      <c r="V1180" s="5" t="s">
        <v>14752</v>
      </c>
      <c r="W1180" s="5" t="s">
        <v>260</v>
      </c>
      <c r="X1180" s="5" t="s">
        <v>260</v>
      </c>
      <c r="Y1180" s="4">
        <v>182</v>
      </c>
      <c r="Z1180" s="4">
        <v>146</v>
      </c>
      <c r="AA1180" s="4">
        <v>146</v>
      </c>
      <c r="AB1180" s="4">
        <v>1</v>
      </c>
      <c r="AC1180" s="4">
        <v>1</v>
      </c>
      <c r="AD1180" s="4">
        <v>16</v>
      </c>
      <c r="AE1180" s="4">
        <v>16</v>
      </c>
      <c r="AF1180" s="4">
        <v>3</v>
      </c>
      <c r="AG1180" s="4">
        <v>3</v>
      </c>
      <c r="AH1180" s="4">
        <v>3</v>
      </c>
      <c r="AI1180" s="4">
        <v>3</v>
      </c>
      <c r="AJ1180" s="4">
        <v>12</v>
      </c>
      <c r="AK1180" s="4">
        <v>12</v>
      </c>
      <c r="AL1180" s="4">
        <v>0</v>
      </c>
      <c r="AM1180" s="4">
        <v>0</v>
      </c>
      <c r="AN1180" s="4">
        <v>0</v>
      </c>
      <c r="AO1180" s="4">
        <v>0</v>
      </c>
      <c r="AP1180" s="3" t="s">
        <v>58</v>
      </c>
      <c r="AQ1180" s="3" t="s">
        <v>58</v>
      </c>
      <c r="AS1180" s="6" t="str">
        <f>HYPERLINK("https://creighton-primo.hosted.exlibrisgroup.com/primo-explore/search?tab=default_tab&amp;search_scope=EVERYTHING&amp;vid=01CRU&amp;lang=en_US&amp;offset=0&amp;query=any,contains,991001267119702656","Catalog Record")</f>
        <v>Catalog Record</v>
      </c>
      <c r="AT1180" s="6" t="str">
        <f>HYPERLINK("http://www.worldcat.org/oclc/17807441","WorldCat Record")</f>
        <v>WorldCat Record</v>
      </c>
      <c r="AU1180" s="3" t="s">
        <v>14753</v>
      </c>
      <c r="AV1180" s="3" t="s">
        <v>14754</v>
      </c>
      <c r="AW1180" s="3" t="s">
        <v>14755</v>
      </c>
      <c r="AX1180" s="3" t="s">
        <v>14755</v>
      </c>
      <c r="AY1180" s="3" t="s">
        <v>14756</v>
      </c>
      <c r="AZ1180" s="3" t="s">
        <v>75</v>
      </c>
      <c r="BB1180" s="3" t="s">
        <v>14757</v>
      </c>
      <c r="BC1180" s="3" t="s">
        <v>14758</v>
      </c>
      <c r="BD1180" s="3" t="s">
        <v>14759</v>
      </c>
    </row>
    <row r="1181" spans="1:56" ht="39" customHeight="1" x14ac:dyDescent="0.25">
      <c r="A1181" s="7" t="s">
        <v>58</v>
      </c>
      <c r="B1181" s="2" t="s">
        <v>14760</v>
      </c>
      <c r="C1181" s="2" t="s">
        <v>14761</v>
      </c>
      <c r="D1181" s="2" t="s">
        <v>14762</v>
      </c>
      <c r="F1181" s="3" t="s">
        <v>58</v>
      </c>
      <c r="G1181" s="3" t="s">
        <v>59</v>
      </c>
      <c r="H1181" s="3" t="s">
        <v>58</v>
      </c>
      <c r="I1181" s="3" t="s">
        <v>58</v>
      </c>
      <c r="J1181" s="3" t="s">
        <v>60</v>
      </c>
      <c r="K1181" s="2" t="s">
        <v>14763</v>
      </c>
      <c r="L1181" s="2" t="s">
        <v>14764</v>
      </c>
      <c r="M1181" s="3" t="s">
        <v>759</v>
      </c>
      <c r="O1181" s="3" t="s">
        <v>65</v>
      </c>
      <c r="P1181" s="3" t="s">
        <v>186</v>
      </c>
      <c r="Q1181" s="2" t="s">
        <v>14765</v>
      </c>
      <c r="R1181" s="3" t="s">
        <v>68</v>
      </c>
      <c r="S1181" s="4">
        <v>2</v>
      </c>
      <c r="T1181" s="4">
        <v>2</v>
      </c>
      <c r="U1181" s="5" t="s">
        <v>847</v>
      </c>
      <c r="V1181" s="5" t="s">
        <v>847</v>
      </c>
      <c r="W1181" s="5" t="s">
        <v>14766</v>
      </c>
      <c r="X1181" s="5" t="s">
        <v>14766</v>
      </c>
      <c r="Y1181" s="4">
        <v>194</v>
      </c>
      <c r="Z1181" s="4">
        <v>152</v>
      </c>
      <c r="AA1181" s="4">
        <v>154</v>
      </c>
      <c r="AB1181" s="4">
        <v>2</v>
      </c>
      <c r="AC1181" s="4">
        <v>2</v>
      </c>
      <c r="AD1181" s="4">
        <v>13</v>
      </c>
      <c r="AE1181" s="4">
        <v>13</v>
      </c>
      <c r="AF1181" s="4">
        <v>2</v>
      </c>
      <c r="AG1181" s="4">
        <v>2</v>
      </c>
      <c r="AH1181" s="4">
        <v>3</v>
      </c>
      <c r="AI1181" s="4">
        <v>3</v>
      </c>
      <c r="AJ1181" s="4">
        <v>8</v>
      </c>
      <c r="AK1181" s="4">
        <v>8</v>
      </c>
      <c r="AL1181" s="4">
        <v>1</v>
      </c>
      <c r="AM1181" s="4">
        <v>1</v>
      </c>
      <c r="AN1181" s="4">
        <v>0</v>
      </c>
      <c r="AO1181" s="4">
        <v>0</v>
      </c>
      <c r="AP1181" s="3" t="s">
        <v>58</v>
      </c>
      <c r="AQ1181" s="3" t="s">
        <v>132</v>
      </c>
      <c r="AR1181" s="6" t="str">
        <f>HYPERLINK("http://catalog.hathitrust.org/Record/001528056","HathiTrust Record")</f>
        <v>HathiTrust Record</v>
      </c>
      <c r="AS1181" s="6" t="str">
        <f>HYPERLINK("https://creighton-primo.hosted.exlibrisgroup.com/primo-explore/search?tab=default_tab&amp;search_scope=EVERYTHING&amp;vid=01CRU&amp;lang=en_US&amp;offset=0&amp;query=any,contains,991001272689702656","Catalog Record")</f>
        <v>Catalog Record</v>
      </c>
      <c r="AT1181" s="6" t="str">
        <f>HYPERLINK("http://www.worldcat.org/oclc/17842254","WorldCat Record")</f>
        <v>WorldCat Record</v>
      </c>
      <c r="AU1181" s="3" t="s">
        <v>14767</v>
      </c>
      <c r="AV1181" s="3" t="s">
        <v>14768</v>
      </c>
      <c r="AW1181" s="3" t="s">
        <v>14769</v>
      </c>
      <c r="AX1181" s="3" t="s">
        <v>14769</v>
      </c>
      <c r="AY1181" s="3" t="s">
        <v>14770</v>
      </c>
      <c r="AZ1181" s="3" t="s">
        <v>75</v>
      </c>
      <c r="BB1181" s="3" t="s">
        <v>14771</v>
      </c>
      <c r="BC1181" s="3" t="s">
        <v>14772</v>
      </c>
      <c r="BD1181" s="3" t="s">
        <v>14773</v>
      </c>
    </row>
    <row r="1182" spans="1:56" ht="39" customHeight="1" x14ac:dyDescent="0.25">
      <c r="A1182" s="7" t="s">
        <v>58</v>
      </c>
      <c r="B1182" s="2" t="s">
        <v>14774</v>
      </c>
      <c r="C1182" s="2" t="s">
        <v>14775</v>
      </c>
      <c r="D1182" s="2" t="s">
        <v>14776</v>
      </c>
      <c r="F1182" s="3" t="s">
        <v>58</v>
      </c>
      <c r="G1182" s="3" t="s">
        <v>59</v>
      </c>
      <c r="H1182" s="3" t="s">
        <v>58</v>
      </c>
      <c r="I1182" s="3" t="s">
        <v>58</v>
      </c>
      <c r="J1182" s="3" t="s">
        <v>60</v>
      </c>
      <c r="K1182" s="2" t="s">
        <v>14777</v>
      </c>
      <c r="L1182" s="2" t="s">
        <v>14778</v>
      </c>
      <c r="M1182" s="3" t="s">
        <v>5411</v>
      </c>
      <c r="O1182" s="3" t="s">
        <v>65</v>
      </c>
      <c r="P1182" s="3" t="s">
        <v>66</v>
      </c>
      <c r="Q1182" s="2" t="s">
        <v>14779</v>
      </c>
      <c r="R1182" s="3" t="s">
        <v>68</v>
      </c>
      <c r="S1182" s="4">
        <v>3</v>
      </c>
      <c r="T1182" s="4">
        <v>3</v>
      </c>
      <c r="U1182" s="5" t="s">
        <v>14780</v>
      </c>
      <c r="V1182" s="5" t="s">
        <v>14780</v>
      </c>
      <c r="W1182" s="5" t="s">
        <v>2494</v>
      </c>
      <c r="X1182" s="5" t="s">
        <v>2494</v>
      </c>
      <c r="Y1182" s="4">
        <v>36</v>
      </c>
      <c r="Z1182" s="4">
        <v>27</v>
      </c>
      <c r="AA1182" s="4">
        <v>29</v>
      </c>
      <c r="AB1182" s="4">
        <v>1</v>
      </c>
      <c r="AC1182" s="4">
        <v>1</v>
      </c>
      <c r="AD1182" s="4">
        <v>9</v>
      </c>
      <c r="AE1182" s="4">
        <v>9</v>
      </c>
      <c r="AF1182" s="4">
        <v>2</v>
      </c>
      <c r="AG1182" s="4">
        <v>2</v>
      </c>
      <c r="AH1182" s="4">
        <v>4</v>
      </c>
      <c r="AI1182" s="4">
        <v>4</v>
      </c>
      <c r="AJ1182" s="4">
        <v>7</v>
      </c>
      <c r="AK1182" s="4">
        <v>7</v>
      </c>
      <c r="AL1182" s="4">
        <v>0</v>
      </c>
      <c r="AM1182" s="4">
        <v>0</v>
      </c>
      <c r="AN1182" s="4">
        <v>0</v>
      </c>
      <c r="AO1182" s="4">
        <v>0</v>
      </c>
      <c r="AP1182" s="3" t="s">
        <v>58</v>
      </c>
      <c r="AQ1182" s="3" t="s">
        <v>58</v>
      </c>
      <c r="AS1182" s="6" t="str">
        <f>HYPERLINK("https://creighton-primo.hosted.exlibrisgroup.com/primo-explore/search?tab=default_tab&amp;search_scope=EVERYTHING&amp;vid=01CRU&amp;lang=en_US&amp;offset=0&amp;query=any,contains,991005019289702656","Catalog Record")</f>
        <v>Catalog Record</v>
      </c>
      <c r="AT1182" s="6" t="str">
        <f>HYPERLINK("http://www.worldcat.org/oclc/6646382","WorldCat Record")</f>
        <v>WorldCat Record</v>
      </c>
      <c r="AU1182" s="3" t="s">
        <v>14781</v>
      </c>
      <c r="AV1182" s="3" t="s">
        <v>14782</v>
      </c>
      <c r="AW1182" s="3" t="s">
        <v>14783</v>
      </c>
      <c r="AX1182" s="3" t="s">
        <v>14783</v>
      </c>
      <c r="AY1182" s="3" t="s">
        <v>14784</v>
      </c>
      <c r="AZ1182" s="3" t="s">
        <v>75</v>
      </c>
      <c r="BC1182" s="3" t="s">
        <v>14785</v>
      </c>
      <c r="BD1182" s="3" t="s">
        <v>14786</v>
      </c>
    </row>
    <row r="1183" spans="1:56" ht="39" customHeight="1" x14ac:dyDescent="0.25">
      <c r="A1183" s="7" t="s">
        <v>58</v>
      </c>
      <c r="B1183" s="2" t="s">
        <v>14787</v>
      </c>
      <c r="C1183" s="2" t="s">
        <v>14788</v>
      </c>
      <c r="D1183" s="2" t="s">
        <v>14789</v>
      </c>
      <c r="F1183" s="3" t="s">
        <v>58</v>
      </c>
      <c r="G1183" s="3" t="s">
        <v>59</v>
      </c>
      <c r="H1183" s="3" t="s">
        <v>58</v>
      </c>
      <c r="I1183" s="3" t="s">
        <v>58</v>
      </c>
      <c r="J1183" s="3" t="s">
        <v>60</v>
      </c>
      <c r="K1183" s="2" t="s">
        <v>14790</v>
      </c>
      <c r="L1183" s="2" t="s">
        <v>14791</v>
      </c>
      <c r="M1183" s="3" t="s">
        <v>14792</v>
      </c>
      <c r="O1183" s="3" t="s">
        <v>65</v>
      </c>
      <c r="P1183" s="3" t="s">
        <v>66</v>
      </c>
      <c r="R1183" s="3" t="s">
        <v>68</v>
      </c>
      <c r="S1183" s="4">
        <v>3</v>
      </c>
      <c r="T1183" s="4">
        <v>3</v>
      </c>
      <c r="U1183" s="5" t="s">
        <v>14793</v>
      </c>
      <c r="V1183" s="5" t="s">
        <v>14793</v>
      </c>
      <c r="W1183" s="5" t="s">
        <v>131</v>
      </c>
      <c r="X1183" s="5" t="s">
        <v>131</v>
      </c>
      <c r="Y1183" s="4">
        <v>17</v>
      </c>
      <c r="Z1183" s="4">
        <v>15</v>
      </c>
      <c r="AA1183" s="4">
        <v>81</v>
      </c>
      <c r="AB1183" s="4">
        <v>2</v>
      </c>
      <c r="AC1183" s="4">
        <v>2</v>
      </c>
      <c r="AD1183" s="4">
        <v>4</v>
      </c>
      <c r="AE1183" s="4">
        <v>12</v>
      </c>
      <c r="AF1183" s="4">
        <v>0</v>
      </c>
      <c r="AG1183" s="4">
        <v>1</v>
      </c>
      <c r="AH1183" s="4">
        <v>1</v>
      </c>
      <c r="AI1183" s="4">
        <v>4</v>
      </c>
      <c r="AJ1183" s="4">
        <v>3</v>
      </c>
      <c r="AK1183" s="4">
        <v>10</v>
      </c>
      <c r="AL1183" s="4">
        <v>0</v>
      </c>
      <c r="AM1183" s="4">
        <v>0</v>
      </c>
      <c r="AN1183" s="4">
        <v>0</v>
      </c>
      <c r="AO1183" s="4">
        <v>0</v>
      </c>
      <c r="AP1183" s="3" t="s">
        <v>58</v>
      </c>
      <c r="AQ1183" s="3" t="s">
        <v>58</v>
      </c>
      <c r="AS1183" s="6" t="str">
        <f>HYPERLINK("https://creighton-primo.hosted.exlibrisgroup.com/primo-explore/search?tab=default_tab&amp;search_scope=EVERYTHING&amp;vid=01CRU&amp;lang=en_US&amp;offset=0&amp;query=any,contains,991000318849702656","Catalog Record")</f>
        <v>Catalog Record</v>
      </c>
      <c r="AT1183" s="6" t="str">
        <f>HYPERLINK("http://www.worldcat.org/oclc/10144640","WorldCat Record")</f>
        <v>WorldCat Record</v>
      </c>
      <c r="AU1183" s="3" t="s">
        <v>14794</v>
      </c>
      <c r="AV1183" s="3" t="s">
        <v>14795</v>
      </c>
      <c r="AW1183" s="3" t="s">
        <v>14796</v>
      </c>
      <c r="AX1183" s="3" t="s">
        <v>14796</v>
      </c>
      <c r="AY1183" s="3" t="s">
        <v>14797</v>
      </c>
      <c r="AZ1183" s="3" t="s">
        <v>75</v>
      </c>
      <c r="BC1183" s="3" t="s">
        <v>14798</v>
      </c>
      <c r="BD1183" s="3" t="s">
        <v>14799</v>
      </c>
    </row>
    <row r="1184" spans="1:56" ht="39" customHeight="1" x14ac:dyDescent="0.25">
      <c r="A1184" s="7" t="s">
        <v>58</v>
      </c>
      <c r="B1184" s="2" t="s">
        <v>14800</v>
      </c>
      <c r="C1184" s="2" t="s">
        <v>14801</v>
      </c>
      <c r="D1184" s="2" t="s">
        <v>14802</v>
      </c>
      <c r="F1184" s="3" t="s">
        <v>58</v>
      </c>
      <c r="G1184" s="3" t="s">
        <v>59</v>
      </c>
      <c r="H1184" s="3" t="s">
        <v>58</v>
      </c>
      <c r="I1184" s="3" t="s">
        <v>58</v>
      </c>
      <c r="J1184" s="3" t="s">
        <v>60</v>
      </c>
      <c r="K1184" s="2" t="s">
        <v>14803</v>
      </c>
      <c r="L1184" s="2" t="s">
        <v>14804</v>
      </c>
      <c r="M1184" s="3" t="s">
        <v>273</v>
      </c>
      <c r="O1184" s="3" t="s">
        <v>65</v>
      </c>
      <c r="P1184" s="3" t="s">
        <v>14805</v>
      </c>
      <c r="R1184" s="3" t="s">
        <v>68</v>
      </c>
      <c r="S1184" s="4">
        <v>3</v>
      </c>
      <c r="T1184" s="4">
        <v>3</v>
      </c>
      <c r="U1184" s="5" t="s">
        <v>14806</v>
      </c>
      <c r="V1184" s="5" t="s">
        <v>14806</v>
      </c>
      <c r="W1184" s="5" t="s">
        <v>14807</v>
      </c>
      <c r="X1184" s="5" t="s">
        <v>14807</v>
      </c>
      <c r="Y1184" s="4">
        <v>92</v>
      </c>
      <c r="Z1184" s="4">
        <v>84</v>
      </c>
      <c r="AA1184" s="4">
        <v>89</v>
      </c>
      <c r="AB1184" s="4">
        <v>3</v>
      </c>
      <c r="AC1184" s="4">
        <v>3</v>
      </c>
      <c r="AD1184" s="4">
        <v>8</v>
      </c>
      <c r="AE1184" s="4">
        <v>8</v>
      </c>
      <c r="AF1184" s="4">
        <v>1</v>
      </c>
      <c r="AG1184" s="4">
        <v>1</v>
      </c>
      <c r="AH1184" s="4">
        <v>3</v>
      </c>
      <c r="AI1184" s="4">
        <v>3</v>
      </c>
      <c r="AJ1184" s="4">
        <v>5</v>
      </c>
      <c r="AK1184" s="4">
        <v>5</v>
      </c>
      <c r="AL1184" s="4">
        <v>1</v>
      </c>
      <c r="AM1184" s="4">
        <v>1</v>
      </c>
      <c r="AN1184" s="4">
        <v>0</v>
      </c>
      <c r="AO1184" s="4">
        <v>0</v>
      </c>
      <c r="AP1184" s="3" t="s">
        <v>58</v>
      </c>
      <c r="AQ1184" s="3" t="s">
        <v>58</v>
      </c>
      <c r="AS1184" s="6" t="str">
        <f>HYPERLINK("https://creighton-primo.hosted.exlibrisgroup.com/primo-explore/search?tab=default_tab&amp;search_scope=EVERYTHING&amp;vid=01CRU&amp;lang=en_US&amp;offset=0&amp;query=any,contains,991002395719702656","Catalog Record")</f>
        <v>Catalog Record</v>
      </c>
      <c r="AT1184" s="6" t="str">
        <f>HYPERLINK("http://www.worldcat.org/oclc/31132022","WorldCat Record")</f>
        <v>WorldCat Record</v>
      </c>
      <c r="AU1184" s="3" t="s">
        <v>14808</v>
      </c>
      <c r="AV1184" s="3" t="s">
        <v>14809</v>
      </c>
      <c r="AW1184" s="3" t="s">
        <v>14810</v>
      </c>
      <c r="AX1184" s="3" t="s">
        <v>14810</v>
      </c>
      <c r="AY1184" s="3" t="s">
        <v>14811</v>
      </c>
      <c r="AZ1184" s="3" t="s">
        <v>75</v>
      </c>
      <c r="BB1184" s="3" t="s">
        <v>14812</v>
      </c>
      <c r="BC1184" s="3" t="s">
        <v>14813</v>
      </c>
      <c r="BD1184" s="3" t="s">
        <v>14814</v>
      </c>
    </row>
    <row r="1185" spans="1:56" ht="39" customHeight="1" x14ac:dyDescent="0.25">
      <c r="A1185" s="7" t="s">
        <v>58</v>
      </c>
      <c r="B1185" s="2" t="s">
        <v>14815</v>
      </c>
      <c r="C1185" s="2" t="s">
        <v>14816</v>
      </c>
      <c r="D1185" s="2" t="s">
        <v>14817</v>
      </c>
      <c r="F1185" s="3" t="s">
        <v>58</v>
      </c>
      <c r="G1185" s="3" t="s">
        <v>59</v>
      </c>
      <c r="H1185" s="3" t="s">
        <v>58</v>
      </c>
      <c r="I1185" s="3" t="s">
        <v>58</v>
      </c>
      <c r="J1185" s="3" t="s">
        <v>60</v>
      </c>
      <c r="K1185" s="2" t="s">
        <v>7259</v>
      </c>
      <c r="L1185" s="2" t="s">
        <v>14818</v>
      </c>
      <c r="M1185" s="3" t="s">
        <v>544</v>
      </c>
      <c r="O1185" s="3" t="s">
        <v>65</v>
      </c>
      <c r="P1185" s="3" t="s">
        <v>186</v>
      </c>
      <c r="R1185" s="3" t="s">
        <v>68</v>
      </c>
      <c r="S1185" s="4">
        <v>1</v>
      </c>
      <c r="T1185" s="4">
        <v>1</v>
      </c>
      <c r="U1185" s="5" t="s">
        <v>14819</v>
      </c>
      <c r="V1185" s="5" t="s">
        <v>14819</v>
      </c>
      <c r="W1185" s="5" t="s">
        <v>14820</v>
      </c>
      <c r="X1185" s="5" t="s">
        <v>14820</v>
      </c>
      <c r="Y1185" s="4">
        <v>114</v>
      </c>
      <c r="Z1185" s="4">
        <v>108</v>
      </c>
      <c r="AA1185" s="4">
        <v>114</v>
      </c>
      <c r="AB1185" s="4">
        <v>2</v>
      </c>
      <c r="AC1185" s="4">
        <v>2</v>
      </c>
      <c r="AD1185" s="4">
        <v>8</v>
      </c>
      <c r="AE1185" s="4">
        <v>8</v>
      </c>
      <c r="AF1185" s="4">
        <v>3</v>
      </c>
      <c r="AG1185" s="4">
        <v>3</v>
      </c>
      <c r="AH1185" s="4">
        <v>2</v>
      </c>
      <c r="AI1185" s="4">
        <v>2</v>
      </c>
      <c r="AJ1185" s="4">
        <v>5</v>
      </c>
      <c r="AK1185" s="4">
        <v>5</v>
      </c>
      <c r="AL1185" s="4">
        <v>0</v>
      </c>
      <c r="AM1185" s="4">
        <v>0</v>
      </c>
      <c r="AN1185" s="4">
        <v>0</v>
      </c>
      <c r="AO1185" s="4">
        <v>0</v>
      </c>
      <c r="AP1185" s="3" t="s">
        <v>58</v>
      </c>
      <c r="AQ1185" s="3" t="s">
        <v>58</v>
      </c>
      <c r="AS1185" s="6" t="str">
        <f>HYPERLINK("https://creighton-primo.hosted.exlibrisgroup.com/primo-explore/search?tab=default_tab&amp;search_scope=EVERYTHING&amp;vid=01CRU&amp;lang=en_US&amp;offset=0&amp;query=any,contains,991002942389702656","Catalog Record")</f>
        <v>Catalog Record</v>
      </c>
      <c r="AT1185" s="6" t="str">
        <f>HYPERLINK("http://www.worldcat.org/oclc/39180849","WorldCat Record")</f>
        <v>WorldCat Record</v>
      </c>
      <c r="AU1185" s="3" t="s">
        <v>14821</v>
      </c>
      <c r="AV1185" s="3" t="s">
        <v>14822</v>
      </c>
      <c r="AW1185" s="3" t="s">
        <v>14823</v>
      </c>
      <c r="AX1185" s="3" t="s">
        <v>14823</v>
      </c>
      <c r="AY1185" s="3" t="s">
        <v>14824</v>
      </c>
      <c r="AZ1185" s="3" t="s">
        <v>75</v>
      </c>
      <c r="BB1185" s="3" t="s">
        <v>14825</v>
      </c>
      <c r="BC1185" s="3" t="s">
        <v>14826</v>
      </c>
      <c r="BD1185" s="3" t="s">
        <v>14827</v>
      </c>
    </row>
    <row r="1186" spans="1:56" ht="39" customHeight="1" x14ac:dyDescent="0.25">
      <c r="A1186" s="7" t="s">
        <v>58</v>
      </c>
      <c r="B1186" s="2" t="s">
        <v>14828</v>
      </c>
      <c r="C1186" s="2" t="s">
        <v>14829</v>
      </c>
      <c r="D1186" s="2" t="s">
        <v>14830</v>
      </c>
      <c r="F1186" s="3" t="s">
        <v>58</v>
      </c>
      <c r="G1186" s="3" t="s">
        <v>59</v>
      </c>
      <c r="H1186" s="3" t="s">
        <v>58</v>
      </c>
      <c r="I1186" s="3" t="s">
        <v>58</v>
      </c>
      <c r="J1186" s="3" t="s">
        <v>60</v>
      </c>
      <c r="K1186" s="2" t="s">
        <v>14831</v>
      </c>
      <c r="L1186" s="2" t="s">
        <v>14832</v>
      </c>
      <c r="M1186" s="3" t="s">
        <v>871</v>
      </c>
      <c r="O1186" s="3" t="s">
        <v>65</v>
      </c>
      <c r="P1186" s="3" t="s">
        <v>492</v>
      </c>
      <c r="R1186" s="3" t="s">
        <v>68</v>
      </c>
      <c r="S1186" s="4">
        <v>3</v>
      </c>
      <c r="T1186" s="4">
        <v>3</v>
      </c>
      <c r="U1186" s="5" t="s">
        <v>14793</v>
      </c>
      <c r="V1186" s="5" t="s">
        <v>14793</v>
      </c>
      <c r="W1186" s="5" t="s">
        <v>131</v>
      </c>
      <c r="X1186" s="5" t="s">
        <v>131</v>
      </c>
      <c r="Y1186" s="4">
        <v>192</v>
      </c>
      <c r="Z1186" s="4">
        <v>166</v>
      </c>
      <c r="AA1186" s="4">
        <v>172</v>
      </c>
      <c r="AB1186" s="4">
        <v>3</v>
      </c>
      <c r="AC1186" s="4">
        <v>3</v>
      </c>
      <c r="AD1186" s="4">
        <v>21</v>
      </c>
      <c r="AE1186" s="4">
        <v>21</v>
      </c>
      <c r="AF1186" s="4">
        <v>6</v>
      </c>
      <c r="AG1186" s="4">
        <v>6</v>
      </c>
      <c r="AH1186" s="4">
        <v>5</v>
      </c>
      <c r="AI1186" s="4">
        <v>5</v>
      </c>
      <c r="AJ1186" s="4">
        <v>15</v>
      </c>
      <c r="AK1186" s="4">
        <v>15</v>
      </c>
      <c r="AL1186" s="4">
        <v>1</v>
      </c>
      <c r="AM1186" s="4">
        <v>1</v>
      </c>
      <c r="AN1186" s="4">
        <v>0</v>
      </c>
      <c r="AO1186" s="4">
        <v>0</v>
      </c>
      <c r="AP1186" s="3" t="s">
        <v>58</v>
      </c>
      <c r="AQ1186" s="3" t="s">
        <v>132</v>
      </c>
      <c r="AR1186" s="6" t="str">
        <f>HYPERLINK("http://catalog.hathitrust.org/Record/102375035","HathiTrust Record")</f>
        <v>HathiTrust Record</v>
      </c>
      <c r="AS1186" s="6" t="str">
        <f>HYPERLINK("https://creighton-primo.hosted.exlibrisgroup.com/primo-explore/search?tab=default_tab&amp;search_scope=EVERYTHING&amp;vid=01CRU&amp;lang=en_US&amp;offset=0&amp;query=any,contains,991003747999702656","Catalog Record")</f>
        <v>Catalog Record</v>
      </c>
      <c r="AT1186" s="6" t="str">
        <f>HYPERLINK("http://www.worldcat.org/oclc/1420714","WorldCat Record")</f>
        <v>WorldCat Record</v>
      </c>
      <c r="AU1186" s="3" t="s">
        <v>14833</v>
      </c>
      <c r="AV1186" s="3" t="s">
        <v>14834</v>
      </c>
      <c r="AW1186" s="3" t="s">
        <v>14835</v>
      </c>
      <c r="AX1186" s="3" t="s">
        <v>14835</v>
      </c>
      <c r="AY1186" s="3" t="s">
        <v>14836</v>
      </c>
      <c r="AZ1186" s="3" t="s">
        <v>75</v>
      </c>
      <c r="BC1186" s="3" t="s">
        <v>14837</v>
      </c>
      <c r="BD1186" s="3" t="s">
        <v>14838</v>
      </c>
    </row>
    <row r="1187" spans="1:56" ht="39" customHeight="1" x14ac:dyDescent="0.25">
      <c r="A1187" s="7" t="s">
        <v>58</v>
      </c>
      <c r="B1187" s="2" t="s">
        <v>14839</v>
      </c>
      <c r="C1187" s="2" t="s">
        <v>14840</v>
      </c>
      <c r="D1187" s="2" t="s">
        <v>14841</v>
      </c>
      <c r="F1187" s="3" t="s">
        <v>58</v>
      </c>
      <c r="G1187" s="3" t="s">
        <v>59</v>
      </c>
      <c r="H1187" s="3" t="s">
        <v>58</v>
      </c>
      <c r="I1187" s="3" t="s">
        <v>58</v>
      </c>
      <c r="J1187" s="3" t="s">
        <v>60</v>
      </c>
      <c r="K1187" s="2" t="s">
        <v>14842</v>
      </c>
      <c r="L1187" s="2" t="s">
        <v>14843</v>
      </c>
      <c r="M1187" s="3" t="s">
        <v>2179</v>
      </c>
      <c r="O1187" s="3" t="s">
        <v>65</v>
      </c>
      <c r="P1187" s="3" t="s">
        <v>186</v>
      </c>
      <c r="R1187" s="3" t="s">
        <v>68</v>
      </c>
      <c r="S1187" s="4">
        <v>3</v>
      </c>
      <c r="T1187" s="4">
        <v>3</v>
      </c>
      <c r="U1187" s="5" t="s">
        <v>7954</v>
      </c>
      <c r="V1187" s="5" t="s">
        <v>7954</v>
      </c>
      <c r="W1187" s="5" t="s">
        <v>260</v>
      </c>
      <c r="X1187" s="5" t="s">
        <v>260</v>
      </c>
      <c r="Y1187" s="4">
        <v>545</v>
      </c>
      <c r="Z1187" s="4">
        <v>500</v>
      </c>
      <c r="AA1187" s="4">
        <v>573</v>
      </c>
      <c r="AB1187" s="4">
        <v>9</v>
      </c>
      <c r="AC1187" s="4">
        <v>10</v>
      </c>
      <c r="AD1187" s="4">
        <v>27</v>
      </c>
      <c r="AE1187" s="4">
        <v>33</v>
      </c>
      <c r="AF1187" s="4">
        <v>13</v>
      </c>
      <c r="AG1187" s="4">
        <v>13</v>
      </c>
      <c r="AH1187" s="4">
        <v>3</v>
      </c>
      <c r="AI1187" s="4">
        <v>5</v>
      </c>
      <c r="AJ1187" s="4">
        <v>8</v>
      </c>
      <c r="AK1187" s="4">
        <v>14</v>
      </c>
      <c r="AL1187" s="4">
        <v>7</v>
      </c>
      <c r="AM1187" s="4">
        <v>7</v>
      </c>
      <c r="AN1187" s="4">
        <v>0</v>
      </c>
      <c r="AO1187" s="4">
        <v>0</v>
      </c>
      <c r="AP1187" s="3" t="s">
        <v>58</v>
      </c>
      <c r="AQ1187" s="3" t="s">
        <v>58</v>
      </c>
      <c r="AR1187" s="6" t="str">
        <f>HYPERLINK("http://catalog.hathitrust.org/Record/009754831","HathiTrust Record")</f>
        <v>HathiTrust Record</v>
      </c>
      <c r="AS1187" s="6" t="str">
        <f>HYPERLINK("https://creighton-primo.hosted.exlibrisgroup.com/primo-explore/search?tab=default_tab&amp;search_scope=EVERYTHING&amp;vid=01CRU&amp;lang=en_US&amp;offset=0&amp;query=any,contains,991002642269702656","Catalog Record")</f>
        <v>Catalog Record</v>
      </c>
      <c r="AT1187" s="6" t="str">
        <f>HYPERLINK("http://www.worldcat.org/oclc/384785","WorldCat Record")</f>
        <v>WorldCat Record</v>
      </c>
      <c r="AU1187" s="3" t="s">
        <v>14844</v>
      </c>
      <c r="AV1187" s="3" t="s">
        <v>14845</v>
      </c>
      <c r="AW1187" s="3" t="s">
        <v>14846</v>
      </c>
      <c r="AX1187" s="3" t="s">
        <v>14846</v>
      </c>
      <c r="AY1187" s="3" t="s">
        <v>14847</v>
      </c>
      <c r="AZ1187" s="3" t="s">
        <v>75</v>
      </c>
      <c r="BC1187" s="3" t="s">
        <v>14848</v>
      </c>
      <c r="BD1187" s="3" t="s">
        <v>14849</v>
      </c>
    </row>
    <row r="1188" spans="1:56" ht="39" customHeight="1" x14ac:dyDescent="0.25">
      <c r="A1188" s="7" t="s">
        <v>58</v>
      </c>
      <c r="B1188" s="2" t="s">
        <v>14850</v>
      </c>
      <c r="C1188" s="2" t="s">
        <v>14851</v>
      </c>
      <c r="D1188" s="2" t="s">
        <v>14852</v>
      </c>
      <c r="F1188" s="3" t="s">
        <v>58</v>
      </c>
      <c r="G1188" s="3" t="s">
        <v>59</v>
      </c>
      <c r="H1188" s="3" t="s">
        <v>58</v>
      </c>
      <c r="I1188" s="3" t="s">
        <v>58</v>
      </c>
      <c r="J1188" s="3" t="s">
        <v>60</v>
      </c>
      <c r="K1188" s="2" t="s">
        <v>14853</v>
      </c>
      <c r="L1188" s="2" t="s">
        <v>14854</v>
      </c>
      <c r="M1188" s="3" t="s">
        <v>544</v>
      </c>
      <c r="O1188" s="3" t="s">
        <v>65</v>
      </c>
      <c r="P1188" s="3" t="s">
        <v>201</v>
      </c>
      <c r="R1188" s="3" t="s">
        <v>68</v>
      </c>
      <c r="S1188" s="4">
        <v>2</v>
      </c>
      <c r="T1188" s="4">
        <v>2</v>
      </c>
      <c r="U1188" s="5" t="s">
        <v>14855</v>
      </c>
      <c r="V1188" s="5" t="s">
        <v>14855</v>
      </c>
      <c r="W1188" s="5" t="s">
        <v>14855</v>
      </c>
      <c r="X1188" s="5" t="s">
        <v>14855</v>
      </c>
      <c r="Y1188" s="4">
        <v>267</v>
      </c>
      <c r="Z1188" s="4">
        <v>210</v>
      </c>
      <c r="AA1188" s="4">
        <v>318</v>
      </c>
      <c r="AB1188" s="4">
        <v>2</v>
      </c>
      <c r="AC1188" s="4">
        <v>4</v>
      </c>
      <c r="AD1188" s="4">
        <v>18</v>
      </c>
      <c r="AE1188" s="4">
        <v>27</v>
      </c>
      <c r="AF1188" s="4">
        <v>2</v>
      </c>
      <c r="AG1188" s="4">
        <v>8</v>
      </c>
      <c r="AH1188" s="4">
        <v>6</v>
      </c>
      <c r="AI1188" s="4">
        <v>7</v>
      </c>
      <c r="AJ1188" s="4">
        <v>11</v>
      </c>
      <c r="AK1188" s="4">
        <v>15</v>
      </c>
      <c r="AL1188" s="4">
        <v>1</v>
      </c>
      <c r="AM1188" s="4">
        <v>3</v>
      </c>
      <c r="AN1188" s="4">
        <v>0</v>
      </c>
      <c r="AO1188" s="4">
        <v>0</v>
      </c>
      <c r="AP1188" s="3" t="s">
        <v>58</v>
      </c>
      <c r="AQ1188" s="3" t="s">
        <v>58</v>
      </c>
      <c r="AS1188" s="6" t="str">
        <f>HYPERLINK("https://creighton-primo.hosted.exlibrisgroup.com/primo-explore/search?tab=default_tab&amp;search_scope=EVERYTHING&amp;vid=01CRU&amp;lang=en_US&amp;offset=0&amp;query=any,contains,991005068729702656","Catalog Record")</f>
        <v>Catalog Record</v>
      </c>
      <c r="AT1188" s="6" t="str">
        <f>HYPERLINK("http://www.worldcat.org/oclc/39257163","WorldCat Record")</f>
        <v>WorldCat Record</v>
      </c>
      <c r="AU1188" s="3" t="s">
        <v>14856</v>
      </c>
      <c r="AV1188" s="3" t="s">
        <v>14857</v>
      </c>
      <c r="AW1188" s="3" t="s">
        <v>14858</v>
      </c>
      <c r="AX1188" s="3" t="s">
        <v>14858</v>
      </c>
      <c r="AY1188" s="3" t="s">
        <v>14859</v>
      </c>
      <c r="AZ1188" s="3" t="s">
        <v>75</v>
      </c>
      <c r="BB1188" s="3" t="s">
        <v>14860</v>
      </c>
      <c r="BC1188" s="3" t="s">
        <v>14861</v>
      </c>
      <c r="BD1188" s="3" t="s">
        <v>14862</v>
      </c>
    </row>
    <row r="1189" spans="1:56" ht="39" customHeight="1" x14ac:dyDescent="0.25">
      <c r="A1189" s="7" t="s">
        <v>58</v>
      </c>
      <c r="B1189" s="2" t="s">
        <v>14863</v>
      </c>
      <c r="C1189" s="2" t="s">
        <v>14864</v>
      </c>
      <c r="D1189" s="2" t="s">
        <v>14865</v>
      </c>
      <c r="F1189" s="3" t="s">
        <v>58</v>
      </c>
      <c r="G1189" s="3" t="s">
        <v>59</v>
      </c>
      <c r="H1189" s="3" t="s">
        <v>58</v>
      </c>
      <c r="I1189" s="3" t="s">
        <v>58</v>
      </c>
      <c r="J1189" s="3" t="s">
        <v>60</v>
      </c>
      <c r="K1189" s="2" t="s">
        <v>14866</v>
      </c>
      <c r="L1189" s="2" t="s">
        <v>14867</v>
      </c>
      <c r="M1189" s="3" t="s">
        <v>1905</v>
      </c>
      <c r="O1189" s="3" t="s">
        <v>65</v>
      </c>
      <c r="P1189" s="3" t="s">
        <v>245</v>
      </c>
      <c r="Q1189" s="2" t="s">
        <v>14868</v>
      </c>
      <c r="R1189" s="3" t="s">
        <v>68</v>
      </c>
      <c r="S1189" s="4">
        <v>1</v>
      </c>
      <c r="T1189" s="4">
        <v>1</v>
      </c>
      <c r="U1189" s="5" t="s">
        <v>14869</v>
      </c>
      <c r="V1189" s="5" t="s">
        <v>14869</v>
      </c>
      <c r="W1189" s="5" t="s">
        <v>260</v>
      </c>
      <c r="X1189" s="5" t="s">
        <v>260</v>
      </c>
      <c r="Y1189" s="4">
        <v>203</v>
      </c>
      <c r="Z1189" s="4">
        <v>161</v>
      </c>
      <c r="AA1189" s="4">
        <v>394</v>
      </c>
      <c r="AB1189" s="4">
        <v>2</v>
      </c>
      <c r="AC1189" s="4">
        <v>3</v>
      </c>
      <c r="AD1189" s="4">
        <v>19</v>
      </c>
      <c r="AE1189" s="4">
        <v>27</v>
      </c>
      <c r="AF1189" s="4">
        <v>3</v>
      </c>
      <c r="AG1189" s="4">
        <v>8</v>
      </c>
      <c r="AH1189" s="4">
        <v>6</v>
      </c>
      <c r="AI1189" s="4">
        <v>9</v>
      </c>
      <c r="AJ1189" s="4">
        <v>15</v>
      </c>
      <c r="AK1189" s="4">
        <v>16</v>
      </c>
      <c r="AL1189" s="4">
        <v>1</v>
      </c>
      <c r="AM1189" s="4">
        <v>2</v>
      </c>
      <c r="AN1189" s="4">
        <v>0</v>
      </c>
      <c r="AO1189" s="4">
        <v>0</v>
      </c>
      <c r="AP1189" s="3" t="s">
        <v>132</v>
      </c>
      <c r="AQ1189" s="3" t="s">
        <v>58</v>
      </c>
      <c r="AR1189" s="6" t="str">
        <f>HYPERLINK("http://catalog.hathitrust.org/Record/001416870","HathiTrust Record")</f>
        <v>HathiTrust Record</v>
      </c>
      <c r="AS1189" s="6" t="str">
        <f>HYPERLINK("https://creighton-primo.hosted.exlibrisgroup.com/primo-explore/search?tab=default_tab&amp;search_scope=EVERYTHING&amp;vid=01CRU&amp;lang=en_US&amp;offset=0&amp;query=any,contains,991005108539702656","Catalog Record")</f>
        <v>Catalog Record</v>
      </c>
      <c r="AT1189" s="6" t="str">
        <f>HYPERLINK("http://www.worldcat.org/oclc/7379399","WorldCat Record")</f>
        <v>WorldCat Record</v>
      </c>
      <c r="AU1189" s="3" t="s">
        <v>14870</v>
      </c>
      <c r="AV1189" s="3" t="s">
        <v>14871</v>
      </c>
      <c r="AW1189" s="3" t="s">
        <v>14872</v>
      </c>
      <c r="AX1189" s="3" t="s">
        <v>14872</v>
      </c>
      <c r="AY1189" s="3" t="s">
        <v>14873</v>
      </c>
      <c r="AZ1189" s="3" t="s">
        <v>75</v>
      </c>
      <c r="BC1189" s="3" t="s">
        <v>14874</v>
      </c>
      <c r="BD1189" s="3" t="s">
        <v>14875</v>
      </c>
    </row>
    <row r="1190" spans="1:56" ht="39" customHeight="1" x14ac:dyDescent="0.25">
      <c r="A1190" s="7" t="s">
        <v>58</v>
      </c>
      <c r="B1190" s="2" t="s">
        <v>14876</v>
      </c>
      <c r="C1190" s="2" t="s">
        <v>14877</v>
      </c>
      <c r="D1190" s="2" t="s">
        <v>14878</v>
      </c>
      <c r="F1190" s="3" t="s">
        <v>58</v>
      </c>
      <c r="G1190" s="3" t="s">
        <v>59</v>
      </c>
      <c r="H1190" s="3" t="s">
        <v>58</v>
      </c>
      <c r="I1190" s="3" t="s">
        <v>58</v>
      </c>
      <c r="J1190" s="3" t="s">
        <v>60</v>
      </c>
      <c r="K1190" s="2" t="s">
        <v>14879</v>
      </c>
      <c r="L1190" s="2" t="s">
        <v>14880</v>
      </c>
      <c r="M1190" s="3" t="s">
        <v>781</v>
      </c>
      <c r="O1190" s="3" t="s">
        <v>65</v>
      </c>
      <c r="P1190" s="3" t="s">
        <v>66</v>
      </c>
      <c r="R1190" s="3" t="s">
        <v>68</v>
      </c>
      <c r="S1190" s="4">
        <v>3</v>
      </c>
      <c r="T1190" s="4">
        <v>3</v>
      </c>
      <c r="U1190" s="5" t="s">
        <v>8443</v>
      </c>
      <c r="V1190" s="5" t="s">
        <v>8443</v>
      </c>
      <c r="W1190" s="5" t="s">
        <v>260</v>
      </c>
      <c r="X1190" s="5" t="s">
        <v>260</v>
      </c>
      <c r="Y1190" s="4">
        <v>212</v>
      </c>
      <c r="Z1190" s="4">
        <v>118</v>
      </c>
      <c r="AA1190" s="4">
        <v>126</v>
      </c>
      <c r="AB1190" s="4">
        <v>2</v>
      </c>
      <c r="AC1190" s="4">
        <v>2</v>
      </c>
      <c r="AD1190" s="4">
        <v>5</v>
      </c>
      <c r="AE1190" s="4">
        <v>5</v>
      </c>
      <c r="AF1190" s="4">
        <v>0</v>
      </c>
      <c r="AG1190" s="4">
        <v>0</v>
      </c>
      <c r="AH1190" s="4">
        <v>1</v>
      </c>
      <c r="AI1190" s="4">
        <v>1</v>
      </c>
      <c r="AJ1190" s="4">
        <v>3</v>
      </c>
      <c r="AK1190" s="4">
        <v>3</v>
      </c>
      <c r="AL1190" s="4">
        <v>1</v>
      </c>
      <c r="AM1190" s="4">
        <v>1</v>
      </c>
      <c r="AN1190" s="4">
        <v>0</v>
      </c>
      <c r="AO1190" s="4">
        <v>0</v>
      </c>
      <c r="AP1190" s="3" t="s">
        <v>58</v>
      </c>
      <c r="AQ1190" s="3" t="s">
        <v>132</v>
      </c>
      <c r="AR1190" s="6" t="str">
        <f>HYPERLINK("http://catalog.hathitrust.org/Record/000660007","HathiTrust Record")</f>
        <v>HathiTrust Record</v>
      </c>
      <c r="AS1190" s="6" t="str">
        <f>HYPERLINK("https://creighton-primo.hosted.exlibrisgroup.com/primo-explore/search?tab=default_tab&amp;search_scope=EVERYTHING&amp;vid=01CRU&amp;lang=en_US&amp;offset=0&amp;query=any,contains,991000692459702656","Catalog Record")</f>
        <v>Catalog Record</v>
      </c>
      <c r="AT1190" s="6" t="str">
        <f>HYPERLINK("http://www.worldcat.org/oclc/14241254","WorldCat Record")</f>
        <v>WorldCat Record</v>
      </c>
      <c r="AU1190" s="3" t="s">
        <v>14881</v>
      </c>
      <c r="AV1190" s="3" t="s">
        <v>14882</v>
      </c>
      <c r="AW1190" s="3" t="s">
        <v>14883</v>
      </c>
      <c r="AX1190" s="3" t="s">
        <v>14883</v>
      </c>
      <c r="AY1190" s="3" t="s">
        <v>14884</v>
      </c>
      <c r="AZ1190" s="3" t="s">
        <v>75</v>
      </c>
      <c r="BB1190" s="3" t="s">
        <v>14885</v>
      </c>
      <c r="BC1190" s="3" t="s">
        <v>14886</v>
      </c>
      <c r="BD1190" s="3" t="s">
        <v>14887</v>
      </c>
    </row>
    <row r="1191" spans="1:56" ht="39" customHeight="1" x14ac:dyDescent="0.25">
      <c r="A1191" s="7" t="s">
        <v>58</v>
      </c>
      <c r="B1191" s="2" t="s">
        <v>14888</v>
      </c>
      <c r="C1191" s="2" t="s">
        <v>14889</v>
      </c>
      <c r="D1191" s="2" t="s">
        <v>14890</v>
      </c>
      <c r="F1191" s="3" t="s">
        <v>58</v>
      </c>
      <c r="G1191" s="3" t="s">
        <v>59</v>
      </c>
      <c r="H1191" s="3" t="s">
        <v>58</v>
      </c>
      <c r="I1191" s="3" t="s">
        <v>58</v>
      </c>
      <c r="J1191" s="3" t="s">
        <v>60</v>
      </c>
      <c r="K1191" s="2" t="s">
        <v>14891</v>
      </c>
      <c r="L1191" s="2" t="s">
        <v>14892</v>
      </c>
      <c r="M1191" s="3" t="s">
        <v>1723</v>
      </c>
      <c r="O1191" s="3" t="s">
        <v>65</v>
      </c>
      <c r="P1191" s="3" t="s">
        <v>1358</v>
      </c>
      <c r="R1191" s="3" t="s">
        <v>68</v>
      </c>
      <c r="S1191" s="4">
        <v>2</v>
      </c>
      <c r="T1191" s="4">
        <v>2</v>
      </c>
      <c r="U1191" s="5" t="s">
        <v>14893</v>
      </c>
      <c r="V1191" s="5" t="s">
        <v>14893</v>
      </c>
      <c r="W1191" s="5" t="s">
        <v>14894</v>
      </c>
      <c r="X1191" s="5" t="s">
        <v>14894</v>
      </c>
      <c r="Y1191" s="4">
        <v>262</v>
      </c>
      <c r="Z1191" s="4">
        <v>210</v>
      </c>
      <c r="AA1191" s="4">
        <v>236</v>
      </c>
      <c r="AB1191" s="4">
        <v>4</v>
      </c>
      <c r="AC1191" s="4">
        <v>4</v>
      </c>
      <c r="AD1191" s="4">
        <v>28</v>
      </c>
      <c r="AE1191" s="4">
        <v>28</v>
      </c>
      <c r="AF1191" s="4">
        <v>12</v>
      </c>
      <c r="AG1191" s="4">
        <v>12</v>
      </c>
      <c r="AH1191" s="4">
        <v>2</v>
      </c>
      <c r="AI1191" s="4">
        <v>2</v>
      </c>
      <c r="AJ1191" s="4">
        <v>17</v>
      </c>
      <c r="AK1191" s="4">
        <v>17</v>
      </c>
      <c r="AL1191" s="4">
        <v>3</v>
      </c>
      <c r="AM1191" s="4">
        <v>3</v>
      </c>
      <c r="AN1191" s="4">
        <v>0</v>
      </c>
      <c r="AO1191" s="4">
        <v>0</v>
      </c>
      <c r="AP1191" s="3" t="s">
        <v>58</v>
      </c>
      <c r="AQ1191" s="3" t="s">
        <v>58</v>
      </c>
      <c r="AS1191" s="6" t="str">
        <f>HYPERLINK("https://creighton-primo.hosted.exlibrisgroup.com/primo-explore/search?tab=default_tab&amp;search_scope=EVERYTHING&amp;vid=01CRU&amp;lang=en_US&amp;offset=0&amp;query=any,contains,991004685179702656","Catalog Record")</f>
        <v>Catalog Record</v>
      </c>
      <c r="AT1191" s="6" t="str">
        <f>HYPERLINK("http://www.worldcat.org/oclc/47240764","WorldCat Record")</f>
        <v>WorldCat Record</v>
      </c>
      <c r="AU1191" s="3" t="s">
        <v>14895</v>
      </c>
      <c r="AV1191" s="3" t="s">
        <v>14896</v>
      </c>
      <c r="AW1191" s="3" t="s">
        <v>14897</v>
      </c>
      <c r="AX1191" s="3" t="s">
        <v>14897</v>
      </c>
      <c r="AY1191" s="3" t="s">
        <v>14898</v>
      </c>
      <c r="AZ1191" s="3" t="s">
        <v>75</v>
      </c>
      <c r="BB1191" s="3" t="s">
        <v>14899</v>
      </c>
      <c r="BC1191" s="3" t="s">
        <v>14900</v>
      </c>
      <c r="BD1191" s="3" t="s">
        <v>14901</v>
      </c>
    </row>
    <row r="1192" spans="1:56" ht="39" customHeight="1" x14ac:dyDescent="0.25">
      <c r="A1192" s="7" t="s">
        <v>58</v>
      </c>
      <c r="B1192" s="2" t="s">
        <v>14902</v>
      </c>
      <c r="C1192" s="2" t="s">
        <v>14903</v>
      </c>
      <c r="D1192" s="2" t="s">
        <v>14904</v>
      </c>
      <c r="F1192" s="3" t="s">
        <v>58</v>
      </c>
      <c r="G1192" s="3" t="s">
        <v>59</v>
      </c>
      <c r="H1192" s="3" t="s">
        <v>58</v>
      </c>
      <c r="I1192" s="3" t="s">
        <v>58</v>
      </c>
      <c r="J1192" s="3" t="s">
        <v>60</v>
      </c>
      <c r="K1192" s="2" t="s">
        <v>14905</v>
      </c>
      <c r="L1192" s="2" t="s">
        <v>14906</v>
      </c>
      <c r="M1192" s="3" t="s">
        <v>966</v>
      </c>
      <c r="O1192" s="3" t="s">
        <v>65</v>
      </c>
      <c r="P1192" s="3" t="s">
        <v>66</v>
      </c>
      <c r="R1192" s="3" t="s">
        <v>68</v>
      </c>
      <c r="S1192" s="4">
        <v>5</v>
      </c>
      <c r="T1192" s="4">
        <v>5</v>
      </c>
      <c r="U1192" s="5" t="s">
        <v>14907</v>
      </c>
      <c r="V1192" s="5" t="s">
        <v>14907</v>
      </c>
      <c r="W1192" s="5" t="s">
        <v>14908</v>
      </c>
      <c r="X1192" s="5" t="s">
        <v>14908</v>
      </c>
      <c r="Y1192" s="4">
        <v>377</v>
      </c>
      <c r="Z1192" s="4">
        <v>268</v>
      </c>
      <c r="AA1192" s="4">
        <v>268</v>
      </c>
      <c r="AB1192" s="4">
        <v>3</v>
      </c>
      <c r="AC1192" s="4">
        <v>3</v>
      </c>
      <c r="AD1192" s="4">
        <v>21</v>
      </c>
      <c r="AE1192" s="4">
        <v>21</v>
      </c>
      <c r="AF1192" s="4">
        <v>6</v>
      </c>
      <c r="AG1192" s="4">
        <v>6</v>
      </c>
      <c r="AH1192" s="4">
        <v>7</v>
      </c>
      <c r="AI1192" s="4">
        <v>7</v>
      </c>
      <c r="AJ1192" s="4">
        <v>11</v>
      </c>
      <c r="AK1192" s="4">
        <v>11</v>
      </c>
      <c r="AL1192" s="4">
        <v>2</v>
      </c>
      <c r="AM1192" s="4">
        <v>2</v>
      </c>
      <c r="AN1192" s="4">
        <v>0</v>
      </c>
      <c r="AO1192" s="4">
        <v>0</v>
      </c>
      <c r="AP1192" s="3" t="s">
        <v>58</v>
      </c>
      <c r="AQ1192" s="3" t="s">
        <v>58</v>
      </c>
      <c r="AS1192" s="6" t="str">
        <f>HYPERLINK("https://creighton-primo.hosted.exlibrisgroup.com/primo-explore/search?tab=default_tab&amp;search_scope=EVERYTHING&amp;vid=01CRU&amp;lang=en_US&amp;offset=0&amp;query=any,contains,991002043739702656","Catalog Record")</f>
        <v>Catalog Record</v>
      </c>
      <c r="AT1192" s="6" t="str">
        <f>HYPERLINK("http://www.worldcat.org/oclc/26094341","WorldCat Record")</f>
        <v>WorldCat Record</v>
      </c>
      <c r="AU1192" s="3" t="s">
        <v>14909</v>
      </c>
      <c r="AV1192" s="3" t="s">
        <v>14910</v>
      </c>
      <c r="AW1192" s="3" t="s">
        <v>14911</v>
      </c>
      <c r="AX1192" s="3" t="s">
        <v>14911</v>
      </c>
      <c r="AY1192" s="3" t="s">
        <v>14912</v>
      </c>
      <c r="AZ1192" s="3" t="s">
        <v>75</v>
      </c>
      <c r="BB1192" s="3" t="s">
        <v>14913</v>
      </c>
      <c r="BC1192" s="3" t="s">
        <v>14914</v>
      </c>
      <c r="BD1192" s="3" t="s">
        <v>14915</v>
      </c>
    </row>
    <row r="1193" spans="1:56" ht="39" customHeight="1" x14ac:dyDescent="0.25">
      <c r="A1193" s="7" t="s">
        <v>58</v>
      </c>
      <c r="B1193" s="2" t="s">
        <v>14916</v>
      </c>
      <c r="C1193" s="2" t="s">
        <v>14917</v>
      </c>
      <c r="D1193" s="2" t="s">
        <v>14918</v>
      </c>
      <c r="F1193" s="3" t="s">
        <v>58</v>
      </c>
      <c r="G1193" s="3" t="s">
        <v>59</v>
      </c>
      <c r="H1193" s="3" t="s">
        <v>58</v>
      </c>
      <c r="I1193" s="3" t="s">
        <v>58</v>
      </c>
      <c r="J1193" s="3" t="s">
        <v>60</v>
      </c>
      <c r="K1193" s="2" t="s">
        <v>14919</v>
      </c>
      <c r="L1193" s="2" t="s">
        <v>14920</v>
      </c>
      <c r="M1193" s="3" t="s">
        <v>3163</v>
      </c>
      <c r="O1193" s="3" t="s">
        <v>65</v>
      </c>
      <c r="P1193" s="3" t="s">
        <v>492</v>
      </c>
      <c r="Q1193" s="2" t="s">
        <v>14921</v>
      </c>
      <c r="R1193" s="3" t="s">
        <v>68</v>
      </c>
      <c r="S1193" s="4">
        <v>2</v>
      </c>
      <c r="T1193" s="4">
        <v>2</v>
      </c>
      <c r="U1193" s="5" t="s">
        <v>14922</v>
      </c>
      <c r="V1193" s="5" t="s">
        <v>14922</v>
      </c>
      <c r="W1193" s="5" t="s">
        <v>131</v>
      </c>
      <c r="X1193" s="5" t="s">
        <v>131</v>
      </c>
      <c r="Y1193" s="4">
        <v>180</v>
      </c>
      <c r="Z1193" s="4">
        <v>167</v>
      </c>
      <c r="AA1193" s="4">
        <v>285</v>
      </c>
      <c r="AB1193" s="4">
        <v>3</v>
      </c>
      <c r="AC1193" s="4">
        <v>3</v>
      </c>
      <c r="AD1193" s="4">
        <v>27</v>
      </c>
      <c r="AE1193" s="4">
        <v>32</v>
      </c>
      <c r="AF1193" s="4">
        <v>8</v>
      </c>
      <c r="AG1193" s="4">
        <v>11</v>
      </c>
      <c r="AH1193" s="4">
        <v>7</v>
      </c>
      <c r="AI1193" s="4">
        <v>8</v>
      </c>
      <c r="AJ1193" s="4">
        <v>20</v>
      </c>
      <c r="AK1193" s="4">
        <v>25</v>
      </c>
      <c r="AL1193" s="4">
        <v>0</v>
      </c>
      <c r="AM1193" s="4">
        <v>0</v>
      </c>
      <c r="AN1193" s="4">
        <v>0</v>
      </c>
      <c r="AO1193" s="4">
        <v>0</v>
      </c>
      <c r="AP1193" s="3" t="s">
        <v>58</v>
      </c>
      <c r="AQ1193" s="3" t="s">
        <v>132</v>
      </c>
      <c r="AR1193" s="6" t="str">
        <f>HYPERLINK("http://catalog.hathitrust.org/Record/006574458","HathiTrust Record")</f>
        <v>HathiTrust Record</v>
      </c>
      <c r="AS1193" s="6" t="str">
        <f>HYPERLINK("https://creighton-primo.hosted.exlibrisgroup.com/primo-explore/search?tab=default_tab&amp;search_scope=EVERYTHING&amp;vid=01CRU&amp;lang=en_US&amp;offset=0&amp;query=any,contains,991002701689702656","Catalog Record")</f>
        <v>Catalog Record</v>
      </c>
      <c r="AT1193" s="6" t="str">
        <f>HYPERLINK("http://www.worldcat.org/oclc/405815","WorldCat Record")</f>
        <v>WorldCat Record</v>
      </c>
      <c r="AU1193" s="3" t="s">
        <v>14923</v>
      </c>
      <c r="AV1193" s="3" t="s">
        <v>14924</v>
      </c>
      <c r="AW1193" s="3" t="s">
        <v>14925</v>
      </c>
      <c r="AX1193" s="3" t="s">
        <v>14925</v>
      </c>
      <c r="AY1193" s="3" t="s">
        <v>14926</v>
      </c>
      <c r="AZ1193" s="3" t="s">
        <v>75</v>
      </c>
      <c r="BC1193" s="3" t="s">
        <v>14927</v>
      </c>
      <c r="BD1193" s="3" t="s">
        <v>14928</v>
      </c>
    </row>
  </sheetData>
  <sheetProtection sheet="1" objects="1" scenarios="1"/>
  <protectedRanges>
    <protectedRange sqref="A2:A1193" name="Range1"/>
    <protectedRange sqref="A1" name="Range1_1"/>
  </protectedRanges>
  <dataValidations count="1">
    <dataValidation type="list" allowBlank="1" showInputMessage="1" showErrorMessage="1" sqref="A2:A1193" xr:uid="{2856AA79-6089-49DD-8F10-11431B53F613}">
      <formula1>"Yes,No"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FBB38ED5D0D274CB2EE2DBFB4DF27AF" ma:contentTypeVersion="16" ma:contentTypeDescription="Create a new document." ma:contentTypeScope="" ma:versionID="343be7708d3bfc8b8cd1354f85bdb4ef">
  <xsd:schema xmlns:xsd="http://www.w3.org/2001/XMLSchema" xmlns:xs="http://www.w3.org/2001/XMLSchema" xmlns:p="http://schemas.microsoft.com/office/2006/metadata/properties" xmlns:ns1="7623ea29-c77c-4024-9954-09e8d33ddb63" xmlns:ns3="a2717908-15ff-42bd-a5fc-d9ac8b8728f4" targetNamespace="http://schemas.microsoft.com/office/2006/metadata/properties" ma:root="true" ma:fieldsID="ba37602cec7d275ad63d8520a3e085f5" ns1:_="" ns3:_="">
    <xsd:import namespace="7623ea29-c77c-4024-9954-09e8d33ddb63"/>
    <xsd:import namespace="a2717908-15ff-42bd-a5fc-d9ac8b8728f4"/>
    <xsd:element name="properties">
      <xsd:complexType>
        <xsd:sequence>
          <xsd:element name="documentManagement">
            <xsd:complexType>
              <xsd:all>
                <xsd:element ref="ns1:Number" minOccurs="0"/>
                <xsd:element ref="ns1:MediaServiceMetadata" minOccurs="0"/>
                <xsd:element ref="ns1:MediaServiceFastMetadata" minOccurs="0"/>
                <xsd:element ref="ns1:MediaServiceDateTaken" minOccurs="0"/>
                <xsd:element ref="ns3:SharedWithUsers" minOccurs="0"/>
                <xsd:element ref="ns3:SharedWithDetails" minOccurs="0"/>
                <xsd:element ref="ns1:MediaServiceAutoKeyPoints" minOccurs="0"/>
                <xsd:element ref="ns1:MediaServiceKeyPoints" minOccurs="0"/>
                <xsd:element ref="ns1:MediaServiceAutoTags" minOccurs="0"/>
                <xsd:element ref="ns1:MediaServiceOCR" minOccurs="0"/>
                <xsd:element ref="ns1:MediaServiceGenerationTime" minOccurs="0"/>
                <xsd:element ref="ns1:MediaServiceEventHashCode" minOccurs="0"/>
                <xsd:element ref="ns1:MediaServiceLocation" minOccurs="0"/>
                <xsd:element ref="ns1:MediaLengthInSeconds" minOccurs="0"/>
                <xsd:element ref="ns1:statuswithucomm" minOccurs="0"/>
                <xsd:element ref="ns1:submittedtoUCO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23ea29-c77c-4024-9954-09e8d33ddb63" elementFormDefault="qualified">
    <xsd:import namespace="http://schemas.microsoft.com/office/2006/documentManagement/types"/>
    <xsd:import namespace="http://schemas.microsoft.com/office/infopath/2007/PartnerControls"/>
    <xsd:element name="Number" ma:index="0" nillable="true" ma:displayName="Number" ma:description="Sort Order" ma:format="Dropdown" ma:internalName="Number" ma:percentage="FALSE">
      <xsd:simpleType>
        <xsd:restriction base="dms:Number"/>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DateTaken" ma:index="8"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statuswithucomm" ma:index="22" nillable="true" ma:displayName="status with ucomm" ma:format="Dropdown" ma:internalName="statuswithucomm">
      <xsd:simpleType>
        <xsd:restriction base="dms:Text">
          <xsd:maxLength value="255"/>
        </xsd:restriction>
      </xsd:simpleType>
    </xsd:element>
    <xsd:element name="submittedtoUCOm" ma:index="23" nillable="true" ma:displayName="submitted to UCOm" ma:default="0" ma:format="Dropdown" ma:internalName="submittedtoUCOm">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2717908-15ff-42bd-a5fc-d9ac8b8728f4"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umber xmlns="7623ea29-c77c-4024-9954-09e8d33ddb63" xsi:nil="true"/>
    <SharedWithUsers xmlns="a2717908-15ff-42bd-a5fc-d9ac8b8728f4">
      <UserInfo>
        <DisplayName/>
        <AccountId xsi:nil="true"/>
        <AccountType/>
      </UserInfo>
    </SharedWithUsers>
    <MediaLengthInSeconds xmlns="7623ea29-c77c-4024-9954-09e8d33ddb63" xsi:nil="true"/>
    <submittedtoUCOm xmlns="7623ea29-c77c-4024-9954-09e8d33ddb63">false</submittedtoUCOm>
    <statuswithucomm xmlns="7623ea29-c77c-4024-9954-09e8d33ddb63" xsi:nil="true"/>
  </documentManagement>
</p:properties>
</file>

<file path=customXml/itemProps1.xml><?xml version="1.0" encoding="utf-8"?>
<ds:datastoreItem xmlns:ds="http://schemas.openxmlformats.org/officeDocument/2006/customXml" ds:itemID="{9F765E02-690D-44F7-93CE-70E3BB1E96F2}"/>
</file>

<file path=customXml/itemProps2.xml><?xml version="1.0" encoding="utf-8"?>
<ds:datastoreItem xmlns:ds="http://schemas.openxmlformats.org/officeDocument/2006/customXml" ds:itemID="{6F66767D-7C36-4770-8E07-4ACAD6DD879F}"/>
</file>

<file path=customXml/itemProps3.xml><?xml version="1.0" encoding="utf-8"?>
<ds:datastoreItem xmlns:ds="http://schemas.openxmlformats.org/officeDocument/2006/customXml" ds:itemID="{AE0B91F0-B451-43C2-8F68-1AAA565CF59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Kiscaden, Elizabeth J</dc:creator>
  <cp:lastModifiedBy>Kiscaden, Elizabeth J</cp:lastModifiedBy>
  <dcterms:created xsi:type="dcterms:W3CDTF">2022-03-03T23:23:10Z</dcterms:created>
  <dcterms:modified xsi:type="dcterms:W3CDTF">2022-03-03T23:25:03Z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0x0101007FBB38ED5D0D274CB2EE2DBFB4DF27AF</vt:lpwstr>
  </property>
  <property fmtid="{D5CDD505-2E9C-101B-9397-08002B2CF9AE}" pid="3" name="Order">
    <vt:r8>283300</vt:r8>
  </property>
  <property fmtid="{D5CDD505-2E9C-101B-9397-08002B2CF9AE}" pid="4" name="_ExtendedDescription">
    <vt:lpwstr/>
  </property>
  <property fmtid="{D5CDD505-2E9C-101B-9397-08002B2CF9AE}" pid="5" name="TriggerFlowInfo">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ies>
</file>